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285" yWindow="-285" windowWidth="10995" windowHeight="9165" activeTab="1"/>
  </bookViews>
  <sheets>
    <sheet name="доходы" sheetId="4" r:id="rId1"/>
    <sheet name="Расходы бюджета" sheetId="3" r:id="rId2"/>
    <sheet name="ИФДБ" sheetId="2" r:id="rId3"/>
  </sheets>
  <definedNames>
    <definedName name="FIO" localSheetId="0">доходы!$D$23</definedName>
    <definedName name="_xlnm.Print_Titles" localSheetId="2">ИФДБ!$13:$13</definedName>
    <definedName name="_xlnm.Print_Titles" localSheetId="1">'Расходы бюджета'!$13:$13</definedName>
  </definedNames>
  <calcPr calcId="125725"/>
</workbook>
</file>

<file path=xl/calcChain.xml><?xml version="1.0" encoding="utf-8"?>
<calcChain xmlns="http://schemas.openxmlformats.org/spreadsheetml/2006/main">
  <c r="D262" i="3"/>
  <c r="D139"/>
  <c r="D138"/>
  <c r="F46" i="4"/>
  <c r="E46"/>
  <c r="D46"/>
  <c r="I107" i="3"/>
  <c r="I108" s="1"/>
  <c r="I101" s="1"/>
  <c r="I19"/>
  <c r="I41" s="1"/>
  <c r="I18"/>
  <c r="I52"/>
  <c r="I51"/>
  <c r="I164"/>
  <c r="I163"/>
  <c r="D164"/>
  <c r="D163"/>
  <c r="D159"/>
  <c r="E212"/>
  <c r="E238"/>
  <c r="I62"/>
  <c r="G51" i="4"/>
  <c r="G49"/>
  <c r="E239" i="3"/>
  <c r="E240" s="1"/>
  <c r="E235" s="1"/>
  <c r="E234" s="1"/>
  <c r="E236"/>
  <c r="E164"/>
  <c r="E163"/>
  <c r="E159"/>
  <c r="E217"/>
  <c r="E216"/>
  <c r="E193"/>
  <c r="K193" s="1"/>
  <c r="E192"/>
  <c r="E147"/>
  <c r="E70"/>
  <c r="D69"/>
  <c r="D265" s="1"/>
  <c r="E66"/>
  <c r="E65"/>
  <c r="D52"/>
  <c r="J52" s="1"/>
  <c r="E52"/>
  <c r="K52" s="1"/>
  <c r="E51"/>
  <c r="K51" s="1"/>
  <c r="D51"/>
  <c r="J51" s="1"/>
  <c r="D46"/>
  <c r="D47" s="1"/>
  <c r="E46"/>
  <c r="K46" s="1"/>
  <c r="E45"/>
  <c r="K45" s="1"/>
  <c r="G58" i="4"/>
  <c r="G57"/>
  <c r="F42"/>
  <c r="F41" s="1"/>
  <c r="D137" i="3"/>
  <c r="D66"/>
  <c r="J66" s="1"/>
  <c r="D67"/>
  <c r="J67" s="1"/>
  <c r="E247"/>
  <c r="F247"/>
  <c r="G247"/>
  <c r="H247"/>
  <c r="I247"/>
  <c r="D247"/>
  <c r="G79" i="4"/>
  <c r="G78"/>
  <c r="G77"/>
  <c r="G76"/>
  <c r="G75"/>
  <c r="G74"/>
  <c r="G73"/>
  <c r="G72"/>
  <c r="F71"/>
  <c r="F70" s="1"/>
  <c r="E71"/>
  <c r="D71"/>
  <c r="G71" s="1"/>
  <c r="E70"/>
  <c r="D70"/>
  <c r="G69"/>
  <c r="F68"/>
  <c r="E68"/>
  <c r="D68"/>
  <c r="G68" s="1"/>
  <c r="G67"/>
  <c r="F66"/>
  <c r="E66"/>
  <c r="E65" s="1"/>
  <c r="E64" s="1"/>
  <c r="E63" s="1"/>
  <c r="D66"/>
  <c r="G66" s="1"/>
  <c r="G62"/>
  <c r="G61"/>
  <c r="G60"/>
  <c r="G59"/>
  <c r="G56"/>
  <c r="F55"/>
  <c r="E55"/>
  <c r="D55"/>
  <c r="G55" s="1"/>
  <c r="F54"/>
  <c r="E54"/>
  <c r="D54"/>
  <c r="G54" s="1"/>
  <c r="F53"/>
  <c r="E53"/>
  <c r="D53"/>
  <c r="G53" s="1"/>
  <c r="G52"/>
  <c r="G50"/>
  <c r="G48"/>
  <c r="G47"/>
  <c r="G45"/>
  <c r="G44"/>
  <c r="G43"/>
  <c r="E42"/>
  <c r="D42"/>
  <c r="E41"/>
  <c r="G39"/>
  <c r="G38"/>
  <c r="G37"/>
  <c r="G36"/>
  <c r="F35"/>
  <c r="F34" s="1"/>
  <c r="E35"/>
  <c r="E34" s="1"/>
  <c r="D35"/>
  <c r="G35" s="1"/>
  <c r="G33"/>
  <c r="G32"/>
  <c r="G31"/>
  <c r="F30"/>
  <c r="E30"/>
  <c r="D30"/>
  <c r="G30" s="1"/>
  <c r="G29"/>
  <c r="G28"/>
  <c r="F27"/>
  <c r="E27"/>
  <c r="D27"/>
  <c r="G27" s="1"/>
  <c r="G26"/>
  <c r="G25"/>
  <c r="G24"/>
  <c r="F23"/>
  <c r="F22" s="1"/>
  <c r="E23"/>
  <c r="D23"/>
  <c r="D22" s="1"/>
  <c r="D21" s="1"/>
  <c r="J17" i="3"/>
  <c r="I20"/>
  <c r="I16" s="1"/>
  <c r="I15" s="1"/>
  <c r="D113"/>
  <c r="I47"/>
  <c r="I50"/>
  <c r="I53"/>
  <c r="I64"/>
  <c r="I58" s="1"/>
  <c r="I72"/>
  <c r="I95"/>
  <c r="J18"/>
  <c r="J45"/>
  <c r="J46"/>
  <c r="J48"/>
  <c r="J49"/>
  <c r="J50" s="1"/>
  <c r="J59"/>
  <c r="J60"/>
  <c r="J61"/>
  <c r="J62"/>
  <c r="J63"/>
  <c r="J65"/>
  <c r="J55"/>
  <c r="J70"/>
  <c r="J71"/>
  <c r="J73"/>
  <c r="J56"/>
  <c r="J97"/>
  <c r="J95" s="1"/>
  <c r="J93"/>
  <c r="J83" s="1"/>
  <c r="I146"/>
  <c r="I145" s="1"/>
  <c r="I144" s="1"/>
  <c r="I143" s="1"/>
  <c r="J147"/>
  <c r="J148"/>
  <c r="J151"/>
  <c r="J153"/>
  <c r="J154"/>
  <c r="K147"/>
  <c r="K148"/>
  <c r="K153"/>
  <c r="K154"/>
  <c r="E50"/>
  <c r="E64"/>
  <c r="E72"/>
  <c r="E75"/>
  <c r="J80"/>
  <c r="J76"/>
  <c r="J77"/>
  <c r="K48"/>
  <c r="K49"/>
  <c r="K59"/>
  <c r="K60"/>
  <c r="K61"/>
  <c r="K62"/>
  <c r="K63"/>
  <c r="K258" s="1"/>
  <c r="K65"/>
  <c r="K66"/>
  <c r="K55"/>
  <c r="K67"/>
  <c r="K70"/>
  <c r="K71"/>
  <c r="K69"/>
  <c r="K73"/>
  <c r="K56"/>
  <c r="K76"/>
  <c r="K77"/>
  <c r="E20"/>
  <c r="E95"/>
  <c r="K17"/>
  <c r="K97"/>
  <c r="K95" s="1"/>
  <c r="I113"/>
  <c r="D240"/>
  <c r="D162"/>
  <c r="D165"/>
  <c r="D108"/>
  <c r="D101"/>
  <c r="D100" s="1"/>
  <c r="D99" s="1"/>
  <c r="D50"/>
  <c r="D64"/>
  <c r="D58" s="1"/>
  <c r="D72"/>
  <c r="D75"/>
  <c r="I244"/>
  <c r="I245"/>
  <c r="I248"/>
  <c r="I249"/>
  <c r="I255"/>
  <c r="I262"/>
  <c r="I254"/>
  <c r="I256"/>
  <c r="I257"/>
  <c r="I258"/>
  <c r="I261"/>
  <c r="I264"/>
  <c r="I265"/>
  <c r="I266"/>
  <c r="I267"/>
  <c r="I185"/>
  <c r="I188"/>
  <c r="I195"/>
  <c r="I189" s="1"/>
  <c r="I206"/>
  <c r="I202"/>
  <c r="I215"/>
  <c r="I218"/>
  <c r="I211" s="1"/>
  <c r="I219"/>
  <c r="I233"/>
  <c r="I229" s="1"/>
  <c r="I240"/>
  <c r="I235" s="1"/>
  <c r="I234" s="1"/>
  <c r="F264"/>
  <c r="G264"/>
  <c r="H264"/>
  <c r="D264"/>
  <c r="D256"/>
  <c r="E81"/>
  <c r="D81"/>
  <c r="D79" s="1"/>
  <c r="J118"/>
  <c r="K118"/>
  <c r="K265"/>
  <c r="E265"/>
  <c r="F265"/>
  <c r="G265"/>
  <c r="H265"/>
  <c r="E113"/>
  <c r="E105"/>
  <c r="E80"/>
  <c r="E93"/>
  <c r="E264" s="1"/>
  <c r="E151"/>
  <c r="E150"/>
  <c r="E267" s="1"/>
  <c r="D150"/>
  <c r="D146" s="1"/>
  <c r="D145" s="1"/>
  <c r="D144" s="1"/>
  <c r="D143" s="1"/>
  <c r="E127"/>
  <c r="E122" s="1"/>
  <c r="E121" s="1"/>
  <c r="K194"/>
  <c r="K190"/>
  <c r="K191"/>
  <c r="K196"/>
  <c r="K197"/>
  <c r="E182"/>
  <c r="E185" s="1"/>
  <c r="D182"/>
  <c r="J182" s="1"/>
  <c r="J239"/>
  <c r="J238"/>
  <c r="K242"/>
  <c r="J242"/>
  <c r="K237"/>
  <c r="J237"/>
  <c r="K102"/>
  <c r="D261"/>
  <c r="E244"/>
  <c r="J102"/>
  <c r="E266"/>
  <c r="E258"/>
  <c r="E256"/>
  <c r="E255"/>
  <c r="E254"/>
  <c r="E248"/>
  <c r="E249" s="1"/>
  <c r="E233"/>
  <c r="E229" s="1"/>
  <c r="E219"/>
  <c r="K217"/>
  <c r="E218"/>
  <c r="E215"/>
  <c r="E206"/>
  <c r="E208" s="1"/>
  <c r="E188"/>
  <c r="E170"/>
  <c r="E162"/>
  <c r="E139"/>
  <c r="K139" s="1"/>
  <c r="E261"/>
  <c r="E133"/>
  <c r="E132"/>
  <c r="E91"/>
  <c r="E92"/>
  <c r="E86"/>
  <c r="F267"/>
  <c r="G267"/>
  <c r="H267"/>
  <c r="D267"/>
  <c r="K150"/>
  <c r="J150"/>
  <c r="F262"/>
  <c r="G262"/>
  <c r="H262"/>
  <c r="K187"/>
  <c r="J186"/>
  <c r="F75"/>
  <c r="G75"/>
  <c r="H75"/>
  <c r="D255"/>
  <c r="H206"/>
  <c r="H202"/>
  <c r="G206"/>
  <c r="G202"/>
  <c r="F206"/>
  <c r="F208"/>
  <c r="D206"/>
  <c r="D202"/>
  <c r="K205"/>
  <c r="J205"/>
  <c r="K204"/>
  <c r="K206"/>
  <c r="J204"/>
  <c r="K203"/>
  <c r="J203"/>
  <c r="F202"/>
  <c r="D219"/>
  <c r="K223"/>
  <c r="J223"/>
  <c r="H223"/>
  <c r="G223"/>
  <c r="F223"/>
  <c r="D218"/>
  <c r="D233"/>
  <c r="D229" s="1"/>
  <c r="K232"/>
  <c r="J232"/>
  <c r="K231"/>
  <c r="K233" s="1"/>
  <c r="J231"/>
  <c r="J233" s="1"/>
  <c r="J229" s="1"/>
  <c r="H233"/>
  <c r="H229" s="1"/>
  <c r="G233"/>
  <c r="G229" s="1"/>
  <c r="F233"/>
  <c r="F229" s="1"/>
  <c r="K230"/>
  <c r="J230"/>
  <c r="I208"/>
  <c r="G208"/>
  <c r="D208"/>
  <c r="K207"/>
  <c r="J207"/>
  <c r="K241"/>
  <c r="J241"/>
  <c r="J160"/>
  <c r="F135"/>
  <c r="F134" s="1"/>
  <c r="G135"/>
  <c r="G134" s="1"/>
  <c r="H135"/>
  <c r="H134" s="1"/>
  <c r="I135"/>
  <c r="I134" s="1"/>
  <c r="F261"/>
  <c r="G261"/>
  <c r="H261"/>
  <c r="K138"/>
  <c r="J138"/>
  <c r="J141"/>
  <c r="K141"/>
  <c r="K140"/>
  <c r="J140"/>
  <c r="F79"/>
  <c r="G79"/>
  <c r="H79"/>
  <c r="I79"/>
  <c r="K81"/>
  <c r="J81"/>
  <c r="J79" s="1"/>
  <c r="D257"/>
  <c r="F83"/>
  <c r="G83"/>
  <c r="H83"/>
  <c r="I83"/>
  <c r="D83"/>
  <c r="F266"/>
  <c r="G266"/>
  <c r="H266"/>
  <c r="G268"/>
  <c r="H268"/>
  <c r="D266"/>
  <c r="F257"/>
  <c r="G257"/>
  <c r="H257"/>
  <c r="F256"/>
  <c r="G256"/>
  <c r="H256"/>
  <c r="F258"/>
  <c r="G258"/>
  <c r="H258"/>
  <c r="D258"/>
  <c r="F254"/>
  <c r="G254"/>
  <c r="H254"/>
  <c r="F255"/>
  <c r="G255"/>
  <c r="H255"/>
  <c r="D254"/>
  <c r="F250"/>
  <c r="G250"/>
  <c r="H250"/>
  <c r="F251"/>
  <c r="G251"/>
  <c r="H251"/>
  <c r="F248"/>
  <c r="G248"/>
  <c r="H248"/>
  <c r="H249" s="1"/>
  <c r="D248"/>
  <c r="D249" s="1"/>
  <c r="F249"/>
  <c r="F245"/>
  <c r="G245"/>
  <c r="H245"/>
  <c r="D245"/>
  <c r="F244"/>
  <c r="F246"/>
  <c r="G244"/>
  <c r="G246"/>
  <c r="H244"/>
  <c r="H246"/>
  <c r="F240"/>
  <c r="F235"/>
  <c r="G240"/>
  <c r="G235"/>
  <c r="H240"/>
  <c r="H235"/>
  <c r="K227"/>
  <c r="J227"/>
  <c r="K226"/>
  <c r="J226"/>
  <c r="K225"/>
  <c r="J225"/>
  <c r="K224"/>
  <c r="J224"/>
  <c r="K222"/>
  <c r="J222"/>
  <c r="K221"/>
  <c r="J221"/>
  <c r="K220"/>
  <c r="K219"/>
  <c r="J220"/>
  <c r="J219"/>
  <c r="J217"/>
  <c r="K216"/>
  <c r="K218" s="1"/>
  <c r="J216"/>
  <c r="J218" s="1"/>
  <c r="J213"/>
  <c r="K213"/>
  <c r="J214"/>
  <c r="K214"/>
  <c r="K212"/>
  <c r="J212"/>
  <c r="F170"/>
  <c r="G170"/>
  <c r="H170"/>
  <c r="I170"/>
  <c r="D170"/>
  <c r="K167"/>
  <c r="J167"/>
  <c r="F122"/>
  <c r="F121"/>
  <c r="G122"/>
  <c r="G121"/>
  <c r="H122"/>
  <c r="H121"/>
  <c r="I122"/>
  <c r="I121"/>
  <c r="D122"/>
  <c r="D121"/>
  <c r="F113"/>
  <c r="G113"/>
  <c r="H113"/>
  <c r="F95"/>
  <c r="G95"/>
  <c r="H95"/>
  <c r="D95"/>
  <c r="K168"/>
  <c r="J168"/>
  <c r="F146"/>
  <c r="F145" s="1"/>
  <c r="F144" s="1"/>
  <c r="F143" s="1"/>
  <c r="G146"/>
  <c r="G145" s="1"/>
  <c r="G144" s="1"/>
  <c r="G143" s="1"/>
  <c r="H146"/>
  <c r="H145" s="1"/>
  <c r="H144" s="1"/>
  <c r="H143" s="1"/>
  <c r="J139"/>
  <c r="J137"/>
  <c r="J174"/>
  <c r="K174"/>
  <c r="J127"/>
  <c r="J115"/>
  <c r="K115"/>
  <c r="K110"/>
  <c r="J110"/>
  <c r="K181"/>
  <c r="K182"/>
  <c r="J181"/>
  <c r="K238"/>
  <c r="K236"/>
  <c r="J149"/>
  <c r="K149"/>
  <c r="K151"/>
  <c r="J116"/>
  <c r="K116"/>
  <c r="F20"/>
  <c r="F16" s="1"/>
  <c r="F15" s="1"/>
  <c r="G20"/>
  <c r="H20"/>
  <c r="H16" s="1"/>
  <c r="H15" s="1"/>
  <c r="I38"/>
  <c r="I39"/>
  <c r="I40"/>
  <c r="D40"/>
  <c r="D39"/>
  <c r="K93"/>
  <c r="K83" s="1"/>
  <c r="J161"/>
  <c r="K171"/>
  <c r="K159"/>
  <c r="K112"/>
  <c r="E38"/>
  <c r="K38"/>
  <c r="E40"/>
  <c r="E41"/>
  <c r="E39"/>
  <c r="J119"/>
  <c r="J159"/>
  <c r="J106"/>
  <c r="J112"/>
  <c r="J96"/>
  <c r="J117"/>
  <c r="J172"/>
  <c r="F212"/>
  <c r="G212"/>
  <c r="H212"/>
  <c r="J126"/>
  <c r="J122" s="1"/>
  <c r="J121" s="1"/>
  <c r="K126"/>
  <c r="K127"/>
  <c r="K173"/>
  <c r="K96"/>
  <c r="K117"/>
  <c r="J183"/>
  <c r="J197"/>
  <c r="J198"/>
  <c r="J196"/>
  <c r="J190"/>
  <c r="J200"/>
  <c r="J194"/>
  <c r="J192"/>
  <c r="J191"/>
  <c r="J199"/>
  <c r="K183"/>
  <c r="K186"/>
  <c r="K188" s="1"/>
  <c r="K180"/>
  <c r="K198"/>
  <c r="K200"/>
  <c r="K199"/>
  <c r="J88"/>
  <c r="J89"/>
  <c r="J90"/>
  <c r="J258"/>
  <c r="J84"/>
  <c r="J85"/>
  <c r="J266"/>
  <c r="J171"/>
  <c r="J175"/>
  <c r="J123"/>
  <c r="J124"/>
  <c r="J103"/>
  <c r="J104"/>
  <c r="J114"/>
  <c r="J129"/>
  <c r="J130"/>
  <c r="J131"/>
  <c r="K88"/>
  <c r="K89"/>
  <c r="K90"/>
  <c r="K84"/>
  <c r="K85"/>
  <c r="K266"/>
  <c r="K161"/>
  <c r="K172"/>
  <c r="K175"/>
  <c r="K123"/>
  <c r="K124"/>
  <c r="K103"/>
  <c r="K104"/>
  <c r="K114"/>
  <c r="K113" s="1"/>
  <c r="K119"/>
  <c r="K129"/>
  <c r="K130"/>
  <c r="K131"/>
  <c r="F38"/>
  <c r="F40"/>
  <c r="F41"/>
  <c r="F39"/>
  <c r="F105"/>
  <c r="F108"/>
  <c r="F101" s="1"/>
  <c r="F100" s="1"/>
  <c r="F99" s="1"/>
  <c r="F162"/>
  <c r="F165"/>
  <c r="F133"/>
  <c r="G38"/>
  <c r="G40"/>
  <c r="G41"/>
  <c r="G39"/>
  <c r="G105"/>
  <c r="G108"/>
  <c r="G101" s="1"/>
  <c r="G100" s="1"/>
  <c r="G99" s="1"/>
  <c r="G162"/>
  <c r="G165"/>
  <c r="G133"/>
  <c r="H38"/>
  <c r="H40"/>
  <c r="H41"/>
  <c r="H39"/>
  <c r="H105"/>
  <c r="H108"/>
  <c r="H101" s="1"/>
  <c r="H100" s="1"/>
  <c r="H99" s="1"/>
  <c r="H162"/>
  <c r="H165"/>
  <c r="H133"/>
  <c r="I162"/>
  <c r="I105"/>
  <c r="I133"/>
  <c r="D105"/>
  <c r="D133"/>
  <c r="F185"/>
  <c r="G185"/>
  <c r="H185"/>
  <c r="F132"/>
  <c r="G132"/>
  <c r="H132"/>
  <c r="I132"/>
  <c r="D132"/>
  <c r="F213"/>
  <c r="F215" s="1"/>
  <c r="G213"/>
  <c r="G214"/>
  <c r="H213"/>
  <c r="F214"/>
  <c r="H214"/>
  <c r="F216"/>
  <c r="F218" s="1"/>
  <c r="G216"/>
  <c r="G218" s="1"/>
  <c r="H216"/>
  <c r="H218" s="1"/>
  <c r="F217"/>
  <c r="G217"/>
  <c r="H217"/>
  <c r="F220"/>
  <c r="G220"/>
  <c r="H220"/>
  <c r="F221"/>
  <c r="G221"/>
  <c r="H221"/>
  <c r="F222"/>
  <c r="G222"/>
  <c r="H222"/>
  <c r="F224"/>
  <c r="G224"/>
  <c r="H224"/>
  <c r="F225"/>
  <c r="G225"/>
  <c r="H225"/>
  <c r="F227"/>
  <c r="G227"/>
  <c r="H227"/>
  <c r="D215"/>
  <c r="D211"/>
  <c r="D210" s="1"/>
  <c r="F47"/>
  <c r="F50"/>
  <c r="F53"/>
  <c r="F64"/>
  <c r="F58" s="1"/>
  <c r="F72"/>
  <c r="G47"/>
  <c r="G50"/>
  <c r="G53"/>
  <c r="G64"/>
  <c r="G58" s="1"/>
  <c r="G72"/>
  <c r="H47"/>
  <c r="H50"/>
  <c r="H53"/>
  <c r="H64"/>
  <c r="H58" s="1"/>
  <c r="H72"/>
  <c r="F188"/>
  <c r="F195"/>
  <c r="F189" s="1"/>
  <c r="G188"/>
  <c r="G195"/>
  <c r="G189" s="1"/>
  <c r="H188"/>
  <c r="H195"/>
  <c r="H189"/>
  <c r="K31"/>
  <c r="K32"/>
  <c r="K33"/>
  <c r="J31"/>
  <c r="J32"/>
  <c r="J33"/>
  <c r="I34"/>
  <c r="I35"/>
  <c r="H34"/>
  <c r="H35"/>
  <c r="G34"/>
  <c r="G35"/>
  <c r="F34"/>
  <c r="F35"/>
  <c r="E34"/>
  <c r="E35"/>
  <c r="D34"/>
  <c r="D35"/>
  <c r="J24"/>
  <c r="J25"/>
  <c r="J26"/>
  <c r="K24"/>
  <c r="K25"/>
  <c r="K26"/>
  <c r="F86"/>
  <c r="G86"/>
  <c r="H86"/>
  <c r="I86"/>
  <c r="D86"/>
  <c r="F91"/>
  <c r="F92" s="1"/>
  <c r="F27"/>
  <c r="F28" s="1"/>
  <c r="I91"/>
  <c r="I92" s="1"/>
  <c r="H91"/>
  <c r="H92" s="1"/>
  <c r="G91"/>
  <c r="G92" s="1"/>
  <c r="D91"/>
  <c r="D92" s="1"/>
  <c r="E27"/>
  <c r="E28" s="1"/>
  <c r="G27"/>
  <c r="G28" s="1"/>
  <c r="H27"/>
  <c r="H28" s="1"/>
  <c r="I27"/>
  <c r="I28" s="1"/>
  <c r="D27"/>
  <c r="D28" s="1"/>
  <c r="D20"/>
  <c r="D16" s="1"/>
  <c r="D15" s="1"/>
  <c r="J184"/>
  <c r="J180"/>
  <c r="J193"/>
  <c r="J195" s="1"/>
  <c r="J189" s="1"/>
  <c r="D195"/>
  <c r="D189" s="1"/>
  <c r="J187"/>
  <c r="K184"/>
  <c r="D158"/>
  <c r="D157" s="1"/>
  <c r="D188"/>
  <c r="K160"/>
  <c r="J173"/>
  <c r="J170" s="1"/>
  <c r="K132"/>
  <c r="J40"/>
  <c r="J215"/>
  <c r="G215"/>
  <c r="G249"/>
  <c r="G179"/>
  <c r="G158"/>
  <c r="G157" s="1"/>
  <c r="F158"/>
  <c r="F157" s="1"/>
  <c r="H215"/>
  <c r="F268"/>
  <c r="D268"/>
  <c r="F259"/>
  <c r="F42"/>
  <c r="F43" s="1"/>
  <c r="J105"/>
  <c r="D135"/>
  <c r="D134" s="1"/>
  <c r="J257"/>
  <c r="J236"/>
  <c r="K248"/>
  <c r="J113"/>
  <c r="D41"/>
  <c r="K106"/>
  <c r="K170"/>
  <c r="K255"/>
  <c r="J244"/>
  <c r="K202"/>
  <c r="E257"/>
  <c r="E259" s="1"/>
  <c r="K254"/>
  <c r="K137"/>
  <c r="E135"/>
  <c r="E134" s="1"/>
  <c r="D42"/>
  <c r="K257"/>
  <c r="J261"/>
  <c r="D244"/>
  <c r="D38"/>
  <c r="K122"/>
  <c r="K121" s="1"/>
  <c r="J38"/>
  <c r="J255"/>
  <c r="J256"/>
  <c r="J259"/>
  <c r="E251"/>
  <c r="E108"/>
  <c r="E101" s="1"/>
  <c r="E100" s="1"/>
  <c r="E99" s="1"/>
  <c r="D41" i="4"/>
  <c r="E22"/>
  <c r="E21" s="1"/>
  <c r="H208" i="3"/>
  <c r="E83"/>
  <c r="E202"/>
  <c r="K91"/>
  <c r="K92" s="1"/>
  <c r="I179"/>
  <c r="D235"/>
  <c r="D234" s="1"/>
  <c r="H252"/>
  <c r="K247"/>
  <c r="K249" s="1"/>
  <c r="J86"/>
  <c r="J247"/>
  <c r="D43"/>
  <c r="K261"/>
  <c r="J34"/>
  <c r="J35" s="1"/>
  <c r="H42"/>
  <c r="H43" s="1"/>
  <c r="K105"/>
  <c r="J91"/>
  <c r="J92" s="1"/>
  <c r="I268"/>
  <c r="I246"/>
  <c r="H219"/>
  <c r="H158"/>
  <c r="H157" s="1"/>
  <c r="G42"/>
  <c r="G43" s="1"/>
  <c r="K86"/>
  <c r="J132"/>
  <c r="K72"/>
  <c r="K34"/>
  <c r="K35" s="1"/>
  <c r="G44"/>
  <c r="G219"/>
  <c r="F219"/>
  <c r="J133"/>
  <c r="J248"/>
  <c r="G259"/>
  <c r="G253" s="1"/>
  <c r="D259"/>
  <c r="D253" s="1"/>
  <c r="J162"/>
  <c r="K264"/>
  <c r="J72"/>
  <c r="H179"/>
  <c r="H178" s="1"/>
  <c r="K133"/>
  <c r="J267"/>
  <c r="J268" s="1"/>
  <c r="K185"/>
  <c r="J188"/>
  <c r="K75"/>
  <c r="K50"/>
  <c r="J146"/>
  <c r="J145" s="1"/>
  <c r="J144" s="1"/>
  <c r="J143" s="1"/>
  <c r="K215"/>
  <c r="H259"/>
  <c r="H253" s="1"/>
  <c r="K208"/>
  <c r="I259"/>
  <c r="I253" s="1"/>
  <c r="K64"/>
  <c r="K267"/>
  <c r="K268" s="1"/>
  <c r="J249"/>
  <c r="K162"/>
  <c r="E42"/>
  <c r="E43" s="1"/>
  <c r="K256"/>
  <c r="K259" s="1"/>
  <c r="D185"/>
  <c r="D179" s="1"/>
  <c r="D178" s="1"/>
  <c r="D177" s="1"/>
  <c r="D269" s="1"/>
  <c r="K27"/>
  <c r="K28" s="1"/>
  <c r="J27"/>
  <c r="J28" s="1"/>
  <c r="F179"/>
  <c r="H44"/>
  <c r="F44"/>
  <c r="K80"/>
  <c r="K79" s="1"/>
  <c r="K39"/>
  <c r="G252"/>
  <c r="F252"/>
  <c r="F253"/>
  <c r="J206"/>
  <c r="G16"/>
  <c r="G15" s="1"/>
  <c r="E16"/>
  <c r="E15" s="1"/>
  <c r="J64"/>
  <c r="I44"/>
  <c r="J75"/>
  <c r="H234"/>
  <c r="F234"/>
  <c r="J202"/>
  <c r="J208"/>
  <c r="G234"/>
  <c r="E146"/>
  <c r="E145" s="1"/>
  <c r="E144" s="1"/>
  <c r="E143" s="1"/>
  <c r="J135" l="1"/>
  <c r="J134" s="1"/>
  <c r="D65" i="4"/>
  <c r="D64" s="1"/>
  <c r="D63" s="1"/>
  <c r="D40"/>
  <c r="J240" i="3"/>
  <c r="J235" s="1"/>
  <c r="F178"/>
  <c r="J39"/>
  <c r="K40"/>
  <c r="E211"/>
  <c r="J185"/>
  <c r="J179" s="1"/>
  <c r="J264"/>
  <c r="I250"/>
  <c r="I100"/>
  <c r="I99" s="1"/>
  <c r="H23"/>
  <c r="H22" s="1"/>
  <c r="E179"/>
  <c r="E40" i="4"/>
  <c r="E20" s="1"/>
  <c r="E18" s="1"/>
  <c r="K164" i="3"/>
  <c r="J107"/>
  <c r="J108" s="1"/>
  <c r="J101" s="1"/>
  <c r="J100" s="1"/>
  <c r="J99" s="1"/>
  <c r="K108"/>
  <c r="K101" s="1"/>
  <c r="K100" s="1"/>
  <c r="K99" s="1"/>
  <c r="K107"/>
  <c r="I42"/>
  <c r="I43" s="1"/>
  <c r="J41"/>
  <c r="J42" s="1"/>
  <c r="J43" s="1"/>
  <c r="K19"/>
  <c r="J19"/>
  <c r="J20" s="1"/>
  <c r="J16" s="1"/>
  <c r="J15" s="1"/>
  <c r="K41"/>
  <c r="K42" s="1"/>
  <c r="K43" s="1"/>
  <c r="K18"/>
  <c r="I251"/>
  <c r="I252" s="1"/>
  <c r="J164"/>
  <c r="J163"/>
  <c r="J165" s="1"/>
  <c r="J158" s="1"/>
  <c r="J157" s="1"/>
  <c r="I165"/>
  <c r="I158" s="1"/>
  <c r="I157" s="1"/>
  <c r="J254"/>
  <c r="G46" i="4"/>
  <c r="G70"/>
  <c r="G23"/>
  <c r="J262" i="3"/>
  <c r="J253" s="1"/>
  <c r="J58"/>
  <c r="J178"/>
  <c r="K135"/>
  <c r="K134" s="1"/>
  <c r="G211"/>
  <c r="G210" s="1"/>
  <c r="D246"/>
  <c r="E210"/>
  <c r="E268"/>
  <c r="I210"/>
  <c r="K146"/>
  <c r="K145" s="1"/>
  <c r="K144" s="1"/>
  <c r="K143" s="1"/>
  <c r="J245"/>
  <c r="J246" s="1"/>
  <c r="I23"/>
  <c r="I22" s="1"/>
  <c r="J251"/>
  <c r="E262"/>
  <c r="F23"/>
  <c r="F22" s="1"/>
  <c r="G23"/>
  <c r="G22" s="1"/>
  <c r="G178"/>
  <c r="G177" s="1"/>
  <c r="H211"/>
  <c r="H210" s="1"/>
  <c r="H177" s="1"/>
  <c r="F211"/>
  <c r="F210" s="1"/>
  <c r="F177" s="1"/>
  <c r="H14"/>
  <c r="E79"/>
  <c r="K58"/>
  <c r="F65" i="4"/>
  <c r="F64" s="1"/>
  <c r="J250" i="3"/>
  <c r="E165"/>
  <c r="E158" s="1"/>
  <c r="E157" s="1"/>
  <c r="K239"/>
  <c r="K240" s="1"/>
  <c r="K235" s="1"/>
  <c r="K234" s="1"/>
  <c r="K251"/>
  <c r="K163"/>
  <c r="K165" s="1"/>
  <c r="K158" s="1"/>
  <c r="K157" s="1"/>
  <c r="K245"/>
  <c r="E195"/>
  <c r="E189" s="1"/>
  <c r="E178" s="1"/>
  <c r="K192"/>
  <c r="K195" s="1"/>
  <c r="K189" s="1"/>
  <c r="J69"/>
  <c r="J265" s="1"/>
  <c r="K262"/>
  <c r="K253" s="1"/>
  <c r="E58"/>
  <c r="E253"/>
  <c r="D251"/>
  <c r="E53"/>
  <c r="K53"/>
  <c r="E250"/>
  <c r="E252" s="1"/>
  <c r="J53"/>
  <c r="D250"/>
  <c r="D53"/>
  <c r="D44" s="1"/>
  <c r="D23" s="1"/>
  <c r="D22" s="1"/>
  <c r="J47"/>
  <c r="E245"/>
  <c r="K244"/>
  <c r="K47"/>
  <c r="K44" s="1"/>
  <c r="E47"/>
  <c r="E246"/>
  <c r="K211"/>
  <c r="J211"/>
  <c r="J210" s="1"/>
  <c r="K179"/>
  <c r="I178"/>
  <c r="G65" i="4"/>
  <c r="F40"/>
  <c r="G40" s="1"/>
  <c r="G41"/>
  <c r="G42"/>
  <c r="G156" i="3"/>
  <c r="G269"/>
  <c r="G270" s="1"/>
  <c r="F21" i="4"/>
  <c r="G21" s="1"/>
  <c r="G22"/>
  <c r="D156" i="3"/>
  <c r="F14"/>
  <c r="K229"/>
  <c r="J234"/>
  <c r="D34" i="4"/>
  <c r="G34" s="1"/>
  <c r="D20"/>
  <c r="I177" i="3" l="1"/>
  <c r="I156" s="1"/>
  <c r="J177"/>
  <c r="J156" s="1"/>
  <c r="J252"/>
  <c r="K20"/>
  <c r="K16" s="1"/>
  <c r="K15" s="1"/>
  <c r="I14"/>
  <c r="K250"/>
  <c r="K252" s="1"/>
  <c r="E177"/>
  <c r="K246"/>
  <c r="K23"/>
  <c r="K22" s="1"/>
  <c r="F20" i="4"/>
  <c r="G20" s="1"/>
  <c r="F156" i="3"/>
  <c r="F269"/>
  <c r="F270" s="1"/>
  <c r="H269"/>
  <c r="H270" s="1"/>
  <c r="H156"/>
  <c r="K210"/>
  <c r="G14"/>
  <c r="J44"/>
  <c r="J23" s="1"/>
  <c r="J22" s="1"/>
  <c r="E156"/>
  <c r="E269"/>
  <c r="E270" s="1"/>
  <c r="K178"/>
  <c r="D252"/>
  <c r="D270" s="1"/>
  <c r="D24" i="2" s="1"/>
  <c r="E44" i="3"/>
  <c r="E23" s="1"/>
  <c r="D14"/>
  <c r="I269"/>
  <c r="I270" s="1"/>
  <c r="E24" i="2" s="1"/>
  <c r="G64" i="4"/>
  <c r="F63"/>
  <c r="G63" s="1"/>
  <c r="D18"/>
  <c r="J269" i="3" l="1"/>
  <c r="J270" s="1"/>
  <c r="K177"/>
  <c r="K269" s="1"/>
  <c r="K270" s="1"/>
  <c r="K156"/>
  <c r="K14"/>
  <c r="F18" i="4"/>
  <c r="E23" i="2" s="1"/>
  <c r="J14" i="3"/>
  <c r="E14"/>
  <c r="E22"/>
  <c r="D23" i="2"/>
  <c r="D13" s="1"/>
  <c r="G18" i="4"/>
  <c r="L12" i="2" l="1"/>
  <c r="E13" l="1"/>
  <c r="I13" s="1"/>
  <c r="E21"/>
</calcChain>
</file>

<file path=xl/sharedStrings.xml><?xml version="1.0" encoding="utf-8"?>
<sst xmlns="http://schemas.openxmlformats.org/spreadsheetml/2006/main" count="724" uniqueCount="445">
  <si>
    <t>Месячный отчет об исполнении бюджета</t>
  </si>
  <si>
    <t>на 01.05.05</t>
  </si>
  <si>
    <t>Периодичность: месячная</t>
  </si>
  <si>
    <t>Единица измерения: руб.</t>
  </si>
  <si>
    <t>Наименование показателя</t>
  </si>
  <si>
    <t>Исполнено</t>
  </si>
  <si>
    <t>Неисполненные назначения</t>
  </si>
  <si>
    <t>2. Расходы бюджета</t>
  </si>
  <si>
    <t>Код расхода по ФКР (Р/ПР, ЦСР, ВР), ЭКР</t>
  </si>
  <si>
    <t>Бюджетные ассигнования, утвержденные законом о бюджете, нормативными правовыми актами о бюджете</t>
  </si>
  <si>
    <t>Лимиты бюджетных обязательств</t>
  </si>
  <si>
    <t>по ассигнованиям</t>
  </si>
  <si>
    <t>по лимитам бюджетных обязательств</t>
  </si>
  <si>
    <t>Форма по ОКУД</t>
  </si>
  <si>
    <t>Заработная плата</t>
  </si>
  <si>
    <t>Услуги связи</t>
  </si>
  <si>
    <t xml:space="preserve">Транспортные услуги </t>
  </si>
  <si>
    <t>Коммунальные услуги</t>
  </si>
  <si>
    <t>Услуги по содержанию имущества</t>
  </si>
  <si>
    <t>Прочие услуги</t>
  </si>
  <si>
    <t>Прочие расходы</t>
  </si>
  <si>
    <t>Увеличение стоимости основных средств</t>
  </si>
  <si>
    <t>Перечисления другим бюджетам бюджетной системы Российской Федерации</t>
  </si>
  <si>
    <t>ВСЕГО</t>
  </si>
  <si>
    <t xml:space="preserve">Заработная плата </t>
  </si>
  <si>
    <t>оплата труда работников по  ЕТС</t>
  </si>
  <si>
    <t>на компенсацию расходов по оплате стоимости проезда и провоза багажа к месту использования отпуска и обратно</t>
  </si>
  <si>
    <t>суточные при служебных командировках и командировках на курсы повышения квалификации</t>
  </si>
  <si>
    <t>потребление электроэнергии</t>
  </si>
  <si>
    <t>водоснабжение</t>
  </si>
  <si>
    <t>прочих расходных материалов и предметов снабжения</t>
  </si>
  <si>
    <t>Увеличение стоимости материальных запасов - ГСМ</t>
  </si>
  <si>
    <t>Коммун. услуги в потребление тепловой энергии</t>
  </si>
  <si>
    <t>02030013600500212010</t>
  </si>
  <si>
    <t>код строки</t>
  </si>
  <si>
    <t>2</t>
  </si>
  <si>
    <t>07094529900001310000</t>
  </si>
  <si>
    <t>3. Источники финансирования дефицитов бюджетов</t>
  </si>
  <si>
    <t xml:space="preserve"> Наименование показателя</t>
  </si>
  <si>
    <t>Код
стро-
ки</t>
  </si>
  <si>
    <t>Код источника финансирования
по КИВФ, КИВнФ</t>
  </si>
  <si>
    <t>Утвержденные бюджетные назначения</t>
  </si>
  <si>
    <t>через финансовые органы</t>
  </si>
  <si>
    <t xml:space="preserve">через банковские счета </t>
  </si>
  <si>
    <t>некассовые операции</t>
  </si>
  <si>
    <t>итого</t>
  </si>
  <si>
    <t>1</t>
  </si>
  <si>
    <t>3</t>
  </si>
  <si>
    <t>Источники финансирования дефицита бюджетов - всего</t>
  </si>
  <si>
    <t>х</t>
  </si>
  <si>
    <t>-</t>
  </si>
  <si>
    <t>в том числе:</t>
  </si>
  <si>
    <t>Источники внутреннего финансирования бюджетов</t>
  </si>
  <si>
    <t xml:space="preserve">   из них:</t>
  </si>
  <si>
    <t>Источники внешнего финансирования бюджетов</t>
  </si>
  <si>
    <t xml:space="preserve">   из них</t>
  </si>
  <si>
    <t>Изменение остатков средств</t>
  </si>
  <si>
    <t>Изменение остатков по расчетам          (стр.810 + 820)</t>
  </si>
  <si>
    <t>изменение остатков по расчетам с органами, организующими исполнение бюджетов
(стр.811 + 812)</t>
  </si>
  <si>
    <t>увеличение счетов расчетов (дебетовый остаток счета 121002000)</t>
  </si>
  <si>
    <t>уменьшение счетов расчетов (кредитовый остаток счета 130405000)</t>
  </si>
  <si>
    <t>Изменение остатков по внутренним расчетам (стр.821 + стр. 822)</t>
  </si>
  <si>
    <t xml:space="preserve">  в том числе:</t>
  </si>
  <si>
    <t>увеличение остатков по внутренним расчетам</t>
  </si>
  <si>
    <t xml:space="preserve">уменьшение остатков по внутренним расчетам </t>
  </si>
  <si>
    <t>Глава администрации</t>
  </si>
  <si>
    <t>Главный бухгалтер</t>
  </si>
  <si>
    <t>А.Н. Саенко</t>
  </si>
  <si>
    <t>03145224891500310000</t>
  </si>
  <si>
    <t>03149224801500310000</t>
  </si>
  <si>
    <t>СВОД</t>
  </si>
  <si>
    <t>211010</t>
  </si>
  <si>
    <t>211020</t>
  </si>
  <si>
    <t>212010</t>
  </si>
  <si>
    <t>212020</t>
  </si>
  <si>
    <t>213010</t>
  </si>
  <si>
    <t>213020</t>
  </si>
  <si>
    <t>222000</t>
  </si>
  <si>
    <t>223010</t>
  </si>
  <si>
    <t>223020</t>
  </si>
  <si>
    <t>223030</t>
  </si>
  <si>
    <t>225020</t>
  </si>
  <si>
    <t>290000</t>
  </si>
  <si>
    <t>310000</t>
  </si>
  <si>
    <t>340030</t>
  </si>
  <si>
    <t>340050</t>
  </si>
  <si>
    <t>251000</t>
  </si>
  <si>
    <t>остаток    на конец отч.периода</t>
  </si>
  <si>
    <t>итого  213</t>
  </si>
  <si>
    <t>итого 211</t>
  </si>
  <si>
    <t>итого 212</t>
  </si>
  <si>
    <t>итого 223</t>
  </si>
  <si>
    <t>итого 340</t>
  </si>
  <si>
    <t>итого 213</t>
  </si>
  <si>
    <t>О.Н. Башкирова</t>
  </si>
  <si>
    <t>05036000500500225020</t>
  </si>
  <si>
    <t>01028770101500211010</t>
  </si>
  <si>
    <t>01028770101500213010</t>
  </si>
  <si>
    <t>01028770101500213020</t>
  </si>
  <si>
    <t>01020000000500211010</t>
  </si>
  <si>
    <t>01020000000500212010</t>
  </si>
  <si>
    <t>01020000000500213010</t>
  </si>
  <si>
    <t>01020000000500213020</t>
  </si>
  <si>
    <t>Итого 0102 8770101:</t>
  </si>
  <si>
    <t>01048770101500211010</t>
  </si>
  <si>
    <t>01048770101500213010</t>
  </si>
  <si>
    <t>01048770101500213020</t>
  </si>
  <si>
    <t>ВСЕГО по разделу 01 02</t>
  </si>
  <si>
    <t>СВОД 0102</t>
  </si>
  <si>
    <t>08014409201001241021</t>
  </si>
  <si>
    <t xml:space="preserve"> - страховые взносы в федеральный бюджет (22%)</t>
  </si>
  <si>
    <t xml:space="preserve"> - страховые взносы в прочие фонды (8,2%)</t>
  </si>
  <si>
    <t>Прочих расходных материалов и предметов снабжения</t>
  </si>
  <si>
    <t>241000</t>
  </si>
  <si>
    <t>225010</t>
  </si>
  <si>
    <t>Прочие расходы (Резервный фонд)</t>
  </si>
  <si>
    <t>04070700400013226000</t>
  </si>
  <si>
    <t>с 01.10.2012</t>
  </si>
  <si>
    <t>01045226202500225020</t>
  </si>
  <si>
    <t>01047956015500225020</t>
  </si>
  <si>
    <t>04070700400013340030</t>
  </si>
  <si>
    <t>04070700400013340050</t>
  </si>
  <si>
    <t>ВСЕГО 0407</t>
  </si>
  <si>
    <t>01028650000500211010</t>
  </si>
  <si>
    <t>01028650000500213010</t>
  </si>
  <si>
    <t>01028650000500213020</t>
  </si>
  <si>
    <t>Итого 0102 8650000:</t>
  </si>
  <si>
    <t>Итого 0104 8770101500:</t>
  </si>
  <si>
    <t>прочие</t>
  </si>
  <si>
    <t>0310</t>
  </si>
  <si>
    <t>остаток  на 01.01.13</t>
  </si>
  <si>
    <t>01130447514244310000</t>
  </si>
  <si>
    <t>02030445118122226000</t>
  </si>
  <si>
    <t>02030445118244310000</t>
  </si>
  <si>
    <t>08010110061611241023</t>
  </si>
  <si>
    <t>08010110061611241120</t>
  </si>
  <si>
    <t>08010120061611241082</t>
  </si>
  <si>
    <t>08010120061611241120</t>
  </si>
  <si>
    <t xml:space="preserve">Прочие услуги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</si>
  <si>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</si>
  <si>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</si>
  <si>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</si>
  <si>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</si>
  <si>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</si>
  <si>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</si>
  <si>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0409</t>
  </si>
  <si>
    <t>НАЦИОНАЛЬНАЯ БЕЗОПАСНОСТЬ И ПРАВООХРАНИТЕЛЬНАЯ ДЕЯТЕЛЬНОСТЬ</t>
  </si>
  <si>
    <t>Обеспечение пожарной безопасности</t>
  </si>
  <si>
    <t>Оплата работ, услуг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</si>
  <si>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</si>
  <si>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</si>
  <si>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</si>
  <si>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</si>
  <si>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КУЛЬТУРА, КИНЕМАТОГРАФИЯ</t>
  </si>
  <si>
    <t>Другие вопросы в области культуры, кинематографии</t>
  </si>
  <si>
    <t>Поступление нефинансовых активов</t>
  </si>
  <si>
    <t>Оплата труда и начисления на выплаты по оплате труда</t>
  </si>
  <si>
    <t>Начисления на выплаты по оплате труда</t>
  </si>
  <si>
    <t>Прочие выплаты</t>
  </si>
  <si>
    <t xml:space="preserve">000 0503 0000000 000 220 </t>
  </si>
  <si>
    <t xml:space="preserve">000 0503 0000000 000 000 </t>
  </si>
  <si>
    <t xml:space="preserve">000 0500 0000000 000 000 </t>
  </si>
  <si>
    <t xml:space="preserve">000 0800 0000000 000 000 </t>
  </si>
  <si>
    <t xml:space="preserve">000 0804 0000000 000 000 </t>
  </si>
  <si>
    <t xml:space="preserve">000 0804 0000000 000 210 </t>
  </si>
  <si>
    <t xml:space="preserve">000 0104 0000000 000 220 </t>
  </si>
  <si>
    <t>Увеличение стоимости материальных запасов</t>
  </si>
  <si>
    <t>Обеспечение деятельности (оказание услуг) подведомственных учреждений в рамках подпрограммы "  "Создание уловий для организации досуга и обеспечение жителей сельсовета услугами организации культуры" муниципальной программы  "Развитие культуры  муниципального образования Недокурский  сельсовет" на 2014-2016 годы</t>
  </si>
  <si>
    <t>Обеспечение деятельности (оказание услуг) подведомственных учреждений в рамках подпрограммы    "Организация  и развитие  библиотечного обслуживания населения,  обеспечение  прав граждан на свободный доступ к информации" муниципальной программы"Развитие культуры  муниципального  образования Недокурский сельсовет "на 2014-2016 годы</t>
  </si>
  <si>
    <t>Культура</t>
  </si>
  <si>
    <t>0801</t>
  </si>
  <si>
    <t>Резервный фонд</t>
  </si>
  <si>
    <t>0111</t>
  </si>
  <si>
    <t>0113</t>
  </si>
  <si>
    <t>02</t>
  </si>
  <si>
    <t>0203</t>
  </si>
  <si>
    <t>03</t>
  </si>
  <si>
    <t>04</t>
  </si>
  <si>
    <t>Физическая культура и спорт</t>
  </si>
  <si>
    <t>Массовый спорт</t>
  </si>
  <si>
    <t>1102</t>
  </si>
  <si>
    <t>11</t>
  </si>
  <si>
    <t>0104</t>
  </si>
  <si>
    <t>0102</t>
  </si>
  <si>
    <t>01</t>
  </si>
  <si>
    <t>Софинансирование расходов по энергосбережению и повышению энергетической эффективности в рамках подпрограммы  "Энергосбережение и повышение энергетической эффективности на территории муниципального образования Недокурский сельсовет" на 2014-2016 годы муниципальной программы «Улучшение жизнедеятельности населения муниципального образования Недокурский сельсовет» на 2014-2016 годы</t>
  </si>
  <si>
    <t>Увеличение стоимости материальных запасов (прочих расходных материалов и предметов снабжения)</t>
  </si>
  <si>
    <t>0102 0410022 121 211010</t>
  </si>
  <si>
    <t>0102 0410022 121 213010</t>
  </si>
  <si>
    <t>0102 0410022 121 213020</t>
  </si>
  <si>
    <t>0104 0410021 121 211010</t>
  </si>
  <si>
    <t>0104 0410021 121 211020</t>
  </si>
  <si>
    <t>0104 0410021 122 212010</t>
  </si>
  <si>
    <t>0104 0410021 122 212020</t>
  </si>
  <si>
    <t>0104 0410021 121 213010</t>
  </si>
  <si>
    <t>0104 0410021 121 213020</t>
  </si>
  <si>
    <t>0104 0410021 122 222000</t>
  </si>
  <si>
    <t>0104 0410021 244 222000</t>
  </si>
  <si>
    <t>0104 0410021 244 223010</t>
  </si>
  <si>
    <t>0104 0410021 244 223020</t>
  </si>
  <si>
    <t>0104 0410021 244 223030</t>
  </si>
  <si>
    <t>0104 0410021 244 225020</t>
  </si>
  <si>
    <t>0104 0410021 244 290000</t>
  </si>
  <si>
    <t>0104 0410021 244 340030</t>
  </si>
  <si>
    <t>0104 0410021 244 340050</t>
  </si>
  <si>
    <t>0104 0410021 852 290000</t>
  </si>
  <si>
    <t>0111 0431011 870 290000</t>
  </si>
  <si>
    <t>0113 0447514 244 340050</t>
  </si>
  <si>
    <t>0203 0445118 121 211010</t>
  </si>
  <si>
    <t>0203 0445118 122 212020</t>
  </si>
  <si>
    <t>0203 0445118 121 213010</t>
  </si>
  <si>
    <t>0203 0445118 121 213020</t>
  </si>
  <si>
    <t>0203 0445118 122 222000</t>
  </si>
  <si>
    <t>0203 0445118 244 225020</t>
  </si>
  <si>
    <t>0203 0445118 244 340050</t>
  </si>
  <si>
    <t>0409 0327508 244 225020</t>
  </si>
  <si>
    <t>0503 0334901 244 223020</t>
  </si>
  <si>
    <t>0804 0134403 112 212010</t>
  </si>
  <si>
    <t>0804 0134403 111 211020</t>
  </si>
  <si>
    <t>0804 0134403 112 212020</t>
  </si>
  <si>
    <t>0804 0134403 111 213010</t>
  </si>
  <si>
    <t>0804 0134403 111 213020</t>
  </si>
  <si>
    <t>0804 0134403 112 222000</t>
  </si>
  <si>
    <t>0804 0134403 244 225020</t>
  </si>
  <si>
    <t>0804 0134403 244 340050</t>
  </si>
  <si>
    <t>0801 0110061 611 241021</t>
  </si>
  <si>
    <t>0801 0110061 611 241010</t>
  </si>
  <si>
    <t>0801 0110061 611 241022</t>
  </si>
  <si>
    <t>0801 0110061 611 241031</t>
  </si>
  <si>
    <t>0801 0110061 611 241032</t>
  </si>
  <si>
    <t>0801 0110061 611 241040</t>
  </si>
  <si>
    <t>0801 0110061 611 241050</t>
  </si>
  <si>
    <t>0801 0110061 611 241061</t>
  </si>
  <si>
    <t>0801 0110061 611 241062</t>
  </si>
  <si>
    <t>0801 0110061 611 241063</t>
  </si>
  <si>
    <t>0801 0110061 611 241082</t>
  </si>
  <si>
    <t>0801 0110061 611 241090</t>
  </si>
  <si>
    <t>0801 0110061 611 241110</t>
  </si>
  <si>
    <t>0801 0110061 611 241135</t>
  </si>
  <si>
    <t>0801 0120061 611 241010</t>
  </si>
  <si>
    <t>0801 0120061 611 241021</t>
  </si>
  <si>
    <t>0801 0120061 611 241022</t>
  </si>
  <si>
    <t>0801 0120061 611 241031</t>
  </si>
  <si>
    <t>0801 0120061 611 241032</t>
  </si>
  <si>
    <t>0801 0120061 611 241040</t>
  </si>
  <si>
    <t>0801 0120061 611 241050</t>
  </si>
  <si>
    <t>0801 0120061 611 241090</t>
  </si>
  <si>
    <t>0801 0120061 611 241110</t>
  </si>
  <si>
    <t>0801 0120061 611 241135</t>
  </si>
  <si>
    <t>1102 0200061 611 241010</t>
  </si>
  <si>
    <t>1102 0200061 611 241031</t>
  </si>
  <si>
    <t>1102 0200061 611 241032</t>
  </si>
  <si>
    <t>0104 0344932 244 226010</t>
  </si>
  <si>
    <t>0104 0344936 244 226010</t>
  </si>
  <si>
    <t>0104 0410021 122 226010</t>
  </si>
  <si>
    <t>0104 0410021 244 221010</t>
  </si>
  <si>
    <t>0104 0410021 244 226010</t>
  </si>
  <si>
    <t>0203 0445118 122 226010</t>
  </si>
  <si>
    <t>0203 0445118 244 226010</t>
  </si>
  <si>
    <t>0310 0314931 244 226010</t>
  </si>
  <si>
    <t>0310 0314934 244 226010</t>
  </si>
  <si>
    <t>0503 0334905 244 226010</t>
  </si>
  <si>
    <t>0503 0334904 244 226010</t>
  </si>
  <si>
    <t>0804 0134403 112 226010</t>
  </si>
  <si>
    <t>0804 0134403 244 221010</t>
  </si>
  <si>
    <t>0804 0134403 244 226010</t>
  </si>
  <si>
    <t>0409 0324908 244 225020</t>
  </si>
  <si>
    <t>0409 0327508 244 226010</t>
  </si>
  <si>
    <t>226010</t>
  </si>
  <si>
    <t>221010</t>
  </si>
  <si>
    <t>0409 0324933 244 225020</t>
  </si>
  <si>
    <t>0104 0410021</t>
  </si>
  <si>
    <t>Функционирование органов местного самоуправления</t>
  </si>
  <si>
    <t xml:space="preserve"> 0102 0000000 000 210 </t>
  </si>
  <si>
    <t>Итого Начисления на выплаты по оплате труда</t>
  </si>
  <si>
    <t>0801 0111021 611 241032</t>
  </si>
  <si>
    <t>0801 0121021 611 241010</t>
  </si>
  <si>
    <t>0801 0121021 611 241031</t>
  </si>
  <si>
    <t>0801 0121021 611 241032</t>
  </si>
  <si>
    <t>0801 0120061 611 241082</t>
  </si>
  <si>
    <t>Итого МРОТ</t>
  </si>
  <si>
    <t>1102 0200061 611 241090</t>
  </si>
  <si>
    <t>0104 0444936 244 226010</t>
  </si>
  <si>
    <t>0104 0447502 244 226010</t>
  </si>
  <si>
    <t>0503 0337741 244 226010</t>
  </si>
  <si>
    <t>0503 0334938 244 226010</t>
  </si>
  <si>
    <t>10001050201100000510</t>
  </si>
  <si>
    <t>10001050201100000610</t>
  </si>
  <si>
    <t>0503 0334905 244 340050</t>
  </si>
  <si>
    <t>0203 0445118 244 310000</t>
  </si>
  <si>
    <t xml:space="preserve">                        Форма 0503127  с.3</t>
  </si>
  <si>
    <t>0104 0410021 244 310000</t>
  </si>
  <si>
    <t>1102 0200061 611 241022</t>
  </si>
  <si>
    <t>1102 0200061 611 241110</t>
  </si>
  <si>
    <t>0503</t>
  </si>
  <si>
    <t>ОТЧЕТ ОБ ИСПОЛНЕНИИ БЮДЖЕТА</t>
  </si>
  <si>
    <t>КОДЫ</t>
  </si>
  <si>
    <t xml:space="preserve">  Форма по ОКУД</t>
  </si>
  <si>
    <t xml:space="preserve">                   Дата</t>
  </si>
  <si>
    <t xml:space="preserve">             по ОКПО</t>
  </si>
  <si>
    <t>Наименование финансового органа:</t>
  </si>
  <si>
    <t>Финансовое управление администрации Кежемского района</t>
  </si>
  <si>
    <t xml:space="preserve">    Глава по БК</t>
  </si>
  <si>
    <t>Наименование публично-правового образования:</t>
  </si>
  <si>
    <t>Бюджет Недокурского сельсовета Кежемского района</t>
  </si>
  <si>
    <t>по ОКТМО</t>
  </si>
  <si>
    <t>Периодичность: годовая</t>
  </si>
  <si>
    <t xml:space="preserve">             по ОКЕИ</t>
  </si>
  <si>
    <t xml:space="preserve">                                 1. Доходы бюджета</t>
  </si>
  <si>
    <t>Код строки</t>
  </si>
  <si>
    <t>Код дохода по бюджетной классификации</t>
  </si>
  <si>
    <t xml:space="preserve">Утвержденные бюджетные назначения на год </t>
  </si>
  <si>
    <t xml:space="preserve">Утвержденные бюджетные назначения на квартал </t>
  </si>
  <si>
    <t>Доходы бюджета - всего</t>
  </si>
  <si>
    <t>X</t>
  </si>
  <si>
    <t>НАЛОГОВЫЕ И НЕНАЛОГОВЫЕ ДОХОДЫ</t>
  </si>
  <si>
    <t>000 10000000000000 000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</si>
  <si>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</si>
  <si>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</si>
  <si>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</si>
  <si>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платежа)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</si>
  <si>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(пени и проценты по соответствующему платежу)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</si>
  <si>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</si>
  <si>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</si>
  <si>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</si>
  <si>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</si>
  <si>
    <t>Налог на доходы физических лиц с доходов, полученных физическими лицамив соответствии со статьей 228 Налогового кодекса Российской Федерации (сумма денежныхвзысканий (штрафов) по соответствующему платежу согласно законодательству Российской Федерации)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</si>
  <si>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</si>
  <si>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</si>
  <si>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зачисляемые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</si>
  <si>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</si>
  <si>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</si>
  <si>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</si>
  <si>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</si>
  <si>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</si>
  <si>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</si>
  <si>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Налог на имущество физических лиц, взимаемый по ставкам, применяемым к объектам налогообложения, расположенным в границах поселений (пени, проценты)</t>
  </si>
  <si>
    <t>Налог на имущество физических лиц, взимаемый по ставкам , применяемым к объектам налогообложения, расположенным в границах поселений (прочие поступления)</t>
  </si>
  <si>
    <t>Земельный налог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</si>
  <si>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</si>
  <si>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 (пени и проценты по соответствующему платежу)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</si>
  <si>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</si>
  <si>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</si>
  <si>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</si>
  <si>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</si>
  <si>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Доходы от использования имущества, находящегося в государственной муниципальной собственности</t>
  </si>
  <si>
    <t>Невыясненные доходы бюджетов поселений</t>
  </si>
  <si>
    <t>Прочие неналоговые доходы бюджетов поселений</t>
  </si>
  <si>
    <t>Средства самообложения граждан, зачисляемые в бюджеты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</si>
  <si>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</si>
  <si>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</si>
  <si>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</si>
  <si>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</si>
  <si>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</si>
  <si>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</si>
  <si>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поселений на поддержку мер по обеспечению сбалансированности бюджетов</t>
  </si>
  <si>
    <t>Субвенции бюджетам субъектов Российской Федерации и муниципальных образований</t>
  </si>
  <si>
    <t>Субвенции бюджетам муниципальных образований края на осуществление государственных полномочий по первичному воинскому учету на территориях, где отсутствуют военные комиссариаты, в соответствии с Федеральным законом</t>
  </si>
  <si>
    <t>Иные межбюджетные трансферты на реализацию Закона края от 23 апреля 2009 года №8-3170 "О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комиссий" на 2014 год и плановый период 2015-2016 годов</t>
  </si>
  <si>
    <t>Межбюджетные трансферты на государственную поддержку действующих и вновь создаваемых спортивных клубов по месту жительства граждан</t>
  </si>
  <si>
    <t>Межбюджетные трансферты на переселение граждан из аварийного жилищного фонда в муниципальных образованиях Красноярского края на 2013-2015 годы</t>
  </si>
  <si>
    <t>Межбюджетные трансферты на  энергосбережение и повышение энергетической эффективности в Красноярском крае на 2010-2012 г. и на период до 2020 г. в части расходов на реализацию мероприятий по энергосбережению и повышению энергетической эффективности   в связи с достижением наилучших показателей в области энергосбережения</t>
  </si>
  <si>
    <t xml:space="preserve">Межбюджетные трансферты  на 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Красноярского края  в рамках подпрограммы  «Дороги Красноярья» государственной программы Красноярского края «Развитие транспортной системы Красноярского края» </t>
  </si>
  <si>
    <t>Межбюджетные трансферты  на подготовку генеральных планов городских и сельских поселений, на разработку проектов планировки и межевания земельных участков для жилищного строительства, формирование и постановку земельных участков на кадастровый учет в рамках подпрограммы "Стимулирование жилищного строительства на территории Красноярского края" государственной программы Красноярского края "Создание условий для обеспечения доступным  и комфортным жильем граждан Красноярского края"</t>
  </si>
  <si>
    <t>Межбюдетные трансферты на реализацию проектов по благоустройству территорий поселений  в рамках подпрограммы «Поддержка муниципальных проектов и мероприятий по благоустройству территорий» государственной программы Красноярского края «Содействие развитию местного самоуправления»</t>
  </si>
  <si>
    <t>0503127</t>
  </si>
  <si>
    <t/>
  </si>
  <si>
    <t>900</t>
  </si>
  <si>
    <t>04624407</t>
  </si>
  <si>
    <t>383</t>
  </si>
  <si>
    <t>4</t>
  </si>
  <si>
    <t>5</t>
  </si>
  <si>
    <t>6</t>
  </si>
  <si>
    <t>010</t>
  </si>
  <si>
    <t>182 10100000000000 000</t>
  </si>
  <si>
    <t>182 10102000010000 110</t>
  </si>
  <si>
    <t>182 10102010010000 110</t>
  </si>
  <si>
    <t>182 10102010011000 110</t>
  </si>
  <si>
    <t>182 10102010012000 110</t>
  </si>
  <si>
    <t>182 10102010013000 110</t>
  </si>
  <si>
    <t>182 10102020010000 110</t>
  </si>
  <si>
    <t>182 10102020011000 110</t>
  </si>
  <si>
    <t>182 10102020012000 110</t>
  </si>
  <si>
    <t>182 10102030010000 110</t>
  </si>
  <si>
    <t>182 10102030011000 110</t>
  </si>
  <si>
    <t>182 10102030012000 110</t>
  </si>
  <si>
    <t>182 10102030013000 110</t>
  </si>
  <si>
    <t>100 10300000000000 000</t>
  </si>
  <si>
    <t>100 10302000010000 110</t>
  </si>
  <si>
    <t>100 10302230010000 110</t>
  </si>
  <si>
    <t>100 10302240010000 110</t>
  </si>
  <si>
    <t>100 10302250010000 110</t>
  </si>
  <si>
    <t>100 10302260010000 110</t>
  </si>
  <si>
    <t>182 10600000000000 000</t>
  </si>
  <si>
    <t>182 10601000000000 110</t>
  </si>
  <si>
    <t>182 10601030100000 110</t>
  </si>
  <si>
    <t>182 10601030101000 110</t>
  </si>
  <si>
    <t>182 10601030104000 110</t>
  </si>
  <si>
    <t>182 10606000000000 110</t>
  </si>
  <si>
    <t>182 10606013102000 110</t>
  </si>
  <si>
    <t>807 10800000000000 000</t>
  </si>
  <si>
    <t>807 10804000010000 110</t>
  </si>
  <si>
    <t>807 10804020010000 110</t>
  </si>
  <si>
    <t>807 10804020011000 110</t>
  </si>
  <si>
    <t>903 11105013101000 120</t>
  </si>
  <si>
    <t>807 11701050100000 180</t>
  </si>
  <si>
    <t>807 11705050100000 180</t>
  </si>
  <si>
    <t>807 11714030100000 180</t>
  </si>
  <si>
    <t>807 20000000000000 000</t>
  </si>
  <si>
    <t>807 20200000000000 000</t>
  </si>
  <si>
    <t>807 20201000000000 151</t>
  </si>
  <si>
    <t>807 20201001000000 151</t>
  </si>
  <si>
    <t>807 20201001100000 151</t>
  </si>
  <si>
    <t>807 20201003000000 151</t>
  </si>
  <si>
    <t>807 20201003100000 151</t>
  </si>
  <si>
    <t>807 20203000000000 151</t>
  </si>
  <si>
    <t>807 20203001500000 151</t>
  </si>
  <si>
    <t>807 20203001510000 151</t>
  </si>
  <si>
    <t>807 20204999100008 151</t>
  </si>
  <si>
    <t>807 20204999100036 151</t>
  </si>
  <si>
    <t>807 20204999100039 151</t>
  </si>
  <si>
    <t>807 20204999100040 151</t>
  </si>
  <si>
    <t>807 20204999100042 151</t>
  </si>
  <si>
    <t>807 20204999100045 151</t>
  </si>
  <si>
    <t>807 20204999100046 151</t>
  </si>
  <si>
    <r>
      <rPr>
        <b/>
        <sz val="10"/>
        <rFont val="Times New Roman"/>
        <family val="1"/>
        <charset val="204"/>
      </rPr>
      <t>Непрограмные расходы</t>
    </r>
    <r>
      <rPr>
        <sz val="10"/>
        <rFont val="Times New Roman"/>
        <family val="1"/>
        <charset val="204"/>
      </rPr>
      <t xml:space="preserve">   на реализацию мероприятий по энергосбережению и повышению энергетической эффективности в связи с достижением наилучших показателей в области энергосбережения в рамках подпрограммы "Энергосбережение и повышение энергетической эффективности в Красноярском крае государственной программы Красноярского края "Реформирование и модернизация жилищно коммунального хозяйства и повышение энергетической эффективности"</t>
    </r>
  </si>
  <si>
    <t xml:space="preserve">     Форма 0503127  </t>
  </si>
  <si>
    <t>182 10606033101000 110</t>
  </si>
  <si>
    <t>182 10601030102100 110</t>
  </si>
  <si>
    <t>182 10606043101000 110</t>
  </si>
  <si>
    <t>на 01.04.2015 г.</t>
  </si>
  <si>
    <t>182 10606033102100 110</t>
  </si>
  <si>
    <t>182 10606043102100 110</t>
  </si>
  <si>
    <t>182 10606053102100 110</t>
  </si>
  <si>
    <t>Невыясненные поступления, зачисляемые в бюджеты поселений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</si>
  <si>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</si>
  <si>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</si>
  <si>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</si>
  <si>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Налог на имущество физических лиц, взимаемый по ставкам, применяемым к объектам налогообложения, расположенным в границах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</si>
  <si>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</si>
  <si>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</si>
  <si>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182 10904053104000 110</t>
  </si>
  <si>
    <t>900 11701050100000 180</t>
  </si>
  <si>
    <t>04 апреля 2015 г.</t>
  </si>
  <si>
    <t>0409 0324933 244 226010</t>
  </si>
</sst>
</file>

<file path=xl/styles.xml><?xml version="1.0" encoding="utf-8"?>
<styleSheet xmlns="http://schemas.openxmlformats.org/spreadsheetml/2006/main">
  <numFmts count="4">
    <numFmt numFmtId="164" formatCode="_-* #,##0.00_$_-;\-* #,##0.00_$_-;_-* &quot;-&quot;??_$_-;_-@_-"/>
    <numFmt numFmtId="165" formatCode="000"/>
    <numFmt numFmtId="166" formatCode="dd/mm/yyyy\ &quot;г.&quot;"/>
    <numFmt numFmtId="167" formatCode="?"/>
  </numFmts>
  <fonts count="20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sz val="9"/>
      <name val="Arial Cyr"/>
      <family val="2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Arial Cyr"/>
      <charset val="204"/>
    </font>
    <font>
      <sz val="10"/>
      <name val="Times New Roman"/>
      <family val="1"/>
      <charset val="204"/>
    </font>
    <font>
      <b/>
      <sz val="8"/>
      <name val="Arial Cyr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53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b/>
      <i/>
      <sz val="10"/>
      <color indexed="5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2">
    <xf numFmtId="0" fontId="0" fillId="0" borderId="0" xfId="0"/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165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horizontal="right" vertical="top"/>
    </xf>
    <xf numFmtId="49" fontId="0" fillId="0" borderId="0" xfId="0" applyNumberFormat="1" applyAlignment="1">
      <alignment vertic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right"/>
    </xf>
    <xf numFmtId="165" fontId="2" fillId="0" borderId="2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horizontal="left" vertical="top"/>
    </xf>
    <xf numFmtId="4" fontId="2" fillId="0" borderId="2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49" fontId="5" fillId="0" borderId="0" xfId="0" applyNumberFormat="1" applyFont="1" applyAlignment="1">
      <alignment horizontal="left" vertical="top" wrapText="1"/>
    </xf>
    <xf numFmtId="165" fontId="5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left" vertical="top"/>
    </xf>
    <xf numFmtId="4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/>
    </xf>
    <xf numFmtId="4" fontId="5" fillId="0" borderId="2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Continuous"/>
    </xf>
    <xf numFmtId="0" fontId="4" fillId="0" borderId="0" xfId="0" applyFont="1"/>
    <xf numFmtId="49" fontId="7" fillId="0" borderId="2" xfId="0" applyNumberFormat="1" applyFont="1" applyFill="1" applyBorder="1" applyAlignment="1">
      <alignment horizontal="left" vertical="top"/>
    </xf>
    <xf numFmtId="4" fontId="7" fillId="0" borderId="2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right" vertical="top"/>
    </xf>
    <xf numFmtId="2" fontId="0" fillId="0" borderId="0" xfId="0" applyNumberFormat="1"/>
    <xf numFmtId="2" fontId="9" fillId="0" borderId="0" xfId="0" applyNumberFormat="1" applyFont="1"/>
    <xf numFmtId="0" fontId="4" fillId="0" borderId="0" xfId="0" applyFont="1" applyAlignment="1">
      <alignment wrapText="1"/>
    </xf>
    <xf numFmtId="4" fontId="4" fillId="0" borderId="0" xfId="0" applyNumberFormat="1" applyFont="1"/>
    <xf numFmtId="2" fontId="4" fillId="0" borderId="0" xfId="0" applyNumberFormat="1" applyFont="1"/>
    <xf numFmtId="4" fontId="0" fillId="0" borderId="0" xfId="0" applyNumberFormat="1"/>
    <xf numFmtId="4" fontId="10" fillId="0" borderId="2" xfId="0" applyNumberFormat="1" applyFont="1" applyFill="1" applyBorder="1" applyAlignment="1">
      <alignment horizontal="right" vertical="top"/>
    </xf>
    <xf numFmtId="2" fontId="11" fillId="0" borderId="0" xfId="0" applyNumberFormat="1" applyFont="1" applyAlignment="1">
      <alignment horizontal="center" vertical="center" wrapText="1"/>
    </xf>
    <xf numFmtId="2" fontId="11" fillId="0" borderId="0" xfId="0" applyNumberFormat="1" applyFont="1" applyFill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right" vertical="top"/>
    </xf>
    <xf numFmtId="0" fontId="7" fillId="0" borderId="0" xfId="0" applyFont="1" applyFill="1"/>
    <xf numFmtId="165" fontId="10" fillId="0" borderId="2" xfId="0" applyNumberFormat="1" applyFont="1" applyFill="1" applyBorder="1" applyAlignment="1">
      <alignment horizontal="right" vertical="top"/>
    </xf>
    <xf numFmtId="49" fontId="7" fillId="0" borderId="2" xfId="0" applyNumberFormat="1" applyFont="1" applyFill="1" applyBorder="1" applyAlignment="1">
      <alignment horizontal="center" vertical="top"/>
    </xf>
    <xf numFmtId="0" fontId="12" fillId="2" borderId="2" xfId="0" applyFont="1" applyFill="1" applyBorder="1" applyAlignment="1">
      <alignment horizontal="justify" wrapText="1"/>
    </xf>
    <xf numFmtId="49" fontId="8" fillId="0" borderId="2" xfId="0" applyNumberFormat="1" applyFont="1" applyFill="1" applyBorder="1" applyAlignment="1">
      <alignment horizontal="center" vertical="top"/>
    </xf>
    <xf numFmtId="4" fontId="8" fillId="0" borderId="2" xfId="0" applyNumberFormat="1" applyFont="1" applyFill="1" applyBorder="1" applyAlignment="1">
      <alignment horizontal="right" vertical="top"/>
    </xf>
    <xf numFmtId="49" fontId="2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/>
    <xf numFmtId="49" fontId="10" fillId="0" borderId="0" xfId="0" applyNumberFormat="1" applyFont="1" applyAlignment="1">
      <alignment horizontal="right"/>
    </xf>
    <xf numFmtId="49" fontId="10" fillId="0" borderId="5" xfId="0" applyNumberFormat="1" applyFont="1" applyBorder="1" applyAlignment="1">
      <alignment horizontal="centerContinuous"/>
    </xf>
    <xf numFmtId="166" fontId="10" fillId="0" borderId="6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centerContinuous"/>
    </xf>
    <xf numFmtId="49" fontId="10" fillId="0" borderId="0" xfId="0" applyNumberFormat="1" applyFont="1" applyAlignment="1">
      <alignment horizontal="center" vertical="center"/>
    </xf>
    <xf numFmtId="49" fontId="10" fillId="0" borderId="8" xfId="0" applyNumberFormat="1" applyFont="1" applyBorder="1" applyAlignment="1">
      <alignment horizontal="centerContinuous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wrapText="1"/>
    </xf>
    <xf numFmtId="49" fontId="8" fillId="0" borderId="2" xfId="0" applyNumberFormat="1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wrapText="1"/>
    </xf>
    <xf numFmtId="4" fontId="10" fillId="0" borderId="2" xfId="0" applyNumberFormat="1" applyFont="1" applyBorder="1" applyAlignment="1">
      <alignment horizontal="center" vertical="center"/>
    </xf>
    <xf numFmtId="167" fontId="10" fillId="0" borderId="2" xfId="0" applyNumberFormat="1" applyFont="1" applyBorder="1" applyAlignment="1">
      <alignment horizontal="left" wrapText="1"/>
    </xf>
    <xf numFmtId="0" fontId="10" fillId="0" borderId="2" xfId="0" applyNumberFormat="1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vertical="top" wrapText="1"/>
    </xf>
    <xf numFmtId="165" fontId="8" fillId="0" borderId="2" xfId="0" applyNumberFormat="1" applyFont="1" applyFill="1" applyBorder="1" applyAlignment="1">
      <alignment horizontal="right" vertical="top"/>
    </xf>
    <xf numFmtId="0" fontId="8" fillId="0" borderId="0" xfId="0" applyFont="1" applyFill="1"/>
    <xf numFmtId="49" fontId="8" fillId="0" borderId="0" xfId="0" applyNumberFormat="1" applyFont="1" applyFill="1" applyAlignment="1">
      <alignment horizontal="left"/>
    </xf>
    <xf numFmtId="49" fontId="8" fillId="0" borderId="0" xfId="0" applyNumberFormat="1" applyFont="1" applyFill="1" applyAlignment="1">
      <alignment horizontal="left" vertical="top"/>
    </xf>
    <xf numFmtId="49" fontId="10" fillId="0" borderId="0" xfId="0" applyNumberFormat="1" applyFont="1" applyFill="1" applyAlignment="1">
      <alignment horizontal="right"/>
    </xf>
    <xf numFmtId="49" fontId="10" fillId="0" borderId="0" xfId="0" applyNumberFormat="1" applyFont="1" applyFill="1" applyAlignment="1">
      <alignment horizontal="left" vertical="center"/>
    </xf>
    <xf numFmtId="49" fontId="10" fillId="0" borderId="0" xfId="0" applyNumberFormat="1" applyFont="1" applyFill="1" applyAlignment="1">
      <alignment horizontal="right" vertical="center"/>
    </xf>
    <xf numFmtId="49" fontId="15" fillId="0" borderId="0" xfId="0" applyNumberFormat="1" applyFont="1" applyFill="1" applyAlignment="1">
      <alignment horizontal="left" vertical="center"/>
    </xf>
    <xf numFmtId="49" fontId="10" fillId="0" borderId="0" xfId="0" applyNumberFormat="1" applyFont="1" applyFill="1" applyAlignment="1">
      <alignment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/>
    </xf>
    <xf numFmtId="4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top"/>
    </xf>
    <xf numFmtId="4" fontId="10" fillId="0" borderId="2" xfId="1" applyNumberFormat="1" applyFont="1" applyFill="1" applyBorder="1" applyAlignment="1">
      <alignment horizontal="right" vertical="top"/>
    </xf>
    <xf numFmtId="0" fontId="10" fillId="0" borderId="0" xfId="0" applyFont="1" applyFill="1"/>
    <xf numFmtId="0" fontId="16" fillId="0" borderId="2" xfId="0" applyFont="1" applyFill="1" applyBorder="1" applyAlignment="1">
      <alignment vertical="top" wrapText="1"/>
    </xf>
    <xf numFmtId="165" fontId="7" fillId="0" borderId="2" xfId="0" applyNumberFormat="1" applyFont="1" applyFill="1" applyBorder="1" applyAlignment="1">
      <alignment horizontal="center" vertical="top"/>
    </xf>
    <xf numFmtId="2" fontId="7" fillId="0" borderId="2" xfId="0" applyNumberFormat="1" applyFont="1" applyFill="1" applyBorder="1" applyAlignment="1">
      <alignment horizontal="center" vertical="top"/>
    </xf>
    <xf numFmtId="4" fontId="7" fillId="0" borderId="2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horizontal="center"/>
    </xf>
    <xf numFmtId="49" fontId="7" fillId="0" borderId="2" xfId="0" applyNumberFormat="1" applyFont="1" applyFill="1" applyBorder="1" applyAlignment="1">
      <alignment horizontal="center" vertical="top" wrapText="1"/>
    </xf>
    <xf numFmtId="49" fontId="8" fillId="0" borderId="2" xfId="0" applyNumberFormat="1" applyFont="1" applyFill="1" applyBorder="1" applyAlignment="1">
      <alignment horizontal="left" wrapText="1"/>
    </xf>
    <xf numFmtId="0" fontId="10" fillId="0" borderId="2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left" vertical="top"/>
    </xf>
    <xf numFmtId="49" fontId="8" fillId="0" borderId="2" xfId="0" applyNumberFormat="1" applyFont="1" applyFill="1" applyBorder="1" applyAlignment="1">
      <alignment horizontal="center" wrapText="1"/>
    </xf>
    <xf numFmtId="0" fontId="16" fillId="0" borderId="9" xfId="0" applyFont="1" applyFill="1" applyBorder="1" applyAlignment="1">
      <alignment vertical="top" wrapText="1"/>
    </xf>
    <xf numFmtId="49" fontId="10" fillId="0" borderId="10" xfId="0" applyNumberFormat="1" applyFont="1" applyFill="1" applyBorder="1" applyAlignment="1">
      <alignment horizontal="left" vertical="top"/>
    </xf>
    <xf numFmtId="49" fontId="10" fillId="0" borderId="10" xfId="0" applyNumberFormat="1" applyFont="1" applyBorder="1" applyAlignment="1">
      <alignment horizontal="center"/>
    </xf>
    <xf numFmtId="0" fontId="10" fillId="0" borderId="2" xfId="0" applyNumberFormat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justify" wrapText="1"/>
    </xf>
    <xf numFmtId="0" fontId="12" fillId="2" borderId="2" xfId="0" applyFont="1" applyFill="1" applyBorder="1" applyAlignment="1">
      <alignment horizontal="justify"/>
    </xf>
    <xf numFmtId="49" fontId="8" fillId="0" borderId="2" xfId="0" applyNumberFormat="1" applyFont="1" applyFill="1" applyBorder="1" applyAlignment="1">
      <alignment horizontal="right" wrapText="1"/>
    </xf>
    <xf numFmtId="0" fontId="14" fillId="0" borderId="0" xfId="0" applyFont="1" applyFill="1" applyAlignment="1">
      <alignment horizontal="center"/>
    </xf>
    <xf numFmtId="49" fontId="8" fillId="0" borderId="2" xfId="0" applyNumberFormat="1" applyFont="1" applyFill="1" applyBorder="1" applyAlignment="1">
      <alignment horizontal="left" vertical="top" wrapText="1"/>
    </xf>
    <xf numFmtId="165" fontId="8" fillId="0" borderId="2" xfId="0" applyNumberFormat="1" applyFont="1" applyFill="1" applyBorder="1" applyAlignment="1">
      <alignment horizontal="center" vertical="top"/>
    </xf>
    <xf numFmtId="0" fontId="12" fillId="0" borderId="2" xfId="0" applyFont="1" applyFill="1" applyBorder="1" applyAlignment="1">
      <alignment vertical="top" wrapText="1"/>
    </xf>
    <xf numFmtId="49" fontId="10" fillId="0" borderId="11" xfId="0" applyNumberFormat="1" applyFont="1" applyBorder="1" applyAlignment="1">
      <alignment horizontal="left" wrapText="1"/>
    </xf>
    <xf numFmtId="165" fontId="7" fillId="0" borderId="12" xfId="0" applyNumberFormat="1" applyFont="1" applyFill="1" applyBorder="1" applyAlignment="1">
      <alignment horizontal="center" vertical="top"/>
    </xf>
    <xf numFmtId="49" fontId="7" fillId="0" borderId="12" xfId="0" applyNumberFormat="1" applyFont="1" applyFill="1" applyBorder="1" applyAlignment="1">
      <alignment horizontal="center" vertical="top"/>
    </xf>
    <xf numFmtId="4" fontId="7" fillId="0" borderId="12" xfId="0" applyNumberFormat="1" applyFont="1" applyFill="1" applyBorder="1" applyAlignment="1">
      <alignment horizontal="center" vertical="top"/>
    </xf>
    <xf numFmtId="49" fontId="7" fillId="0" borderId="2" xfId="0" applyNumberFormat="1" applyFont="1" applyBorder="1" applyAlignment="1">
      <alignment horizontal="left" wrapText="1"/>
    </xf>
    <xf numFmtId="49" fontId="10" fillId="0" borderId="10" xfId="0" applyNumberFormat="1" applyFont="1" applyFill="1" applyBorder="1" applyAlignment="1">
      <alignment horizontal="left" vertical="top" wrapText="1"/>
    </xf>
    <xf numFmtId="0" fontId="17" fillId="0" borderId="0" xfId="0" applyFont="1" applyFill="1"/>
    <xf numFmtId="49" fontId="10" fillId="0" borderId="2" xfId="0" applyNumberFormat="1" applyFont="1" applyFill="1" applyBorder="1" applyAlignment="1">
      <alignment horizontal="left" wrapText="1"/>
    </xf>
    <xf numFmtId="49" fontId="18" fillId="0" borderId="2" xfId="0" applyNumberFormat="1" applyFont="1" applyFill="1" applyBorder="1" applyAlignment="1">
      <alignment horizontal="left" vertical="top" wrapText="1"/>
    </xf>
    <xf numFmtId="165" fontId="17" fillId="0" borderId="2" xfId="0" applyNumberFormat="1" applyFont="1" applyFill="1" applyBorder="1" applyAlignment="1">
      <alignment horizontal="right" vertical="top"/>
    </xf>
    <xf numFmtId="49" fontId="18" fillId="0" borderId="2" xfId="0" applyNumberFormat="1" applyFont="1" applyFill="1" applyBorder="1" applyAlignment="1">
      <alignment horizontal="left" vertical="top"/>
    </xf>
    <xf numFmtId="4" fontId="18" fillId="0" borderId="2" xfId="0" applyNumberFormat="1" applyFont="1" applyFill="1" applyBorder="1" applyAlignment="1">
      <alignment horizontal="right" vertical="top"/>
    </xf>
    <xf numFmtId="4" fontId="19" fillId="0" borderId="2" xfId="0" applyNumberFormat="1" applyFont="1" applyFill="1" applyBorder="1" applyAlignment="1">
      <alignment horizontal="right" vertical="top"/>
    </xf>
    <xf numFmtId="49" fontId="17" fillId="0" borderId="2" xfId="0" applyNumberFormat="1" applyFont="1" applyFill="1" applyBorder="1" applyAlignment="1">
      <alignment horizontal="left" wrapText="1"/>
    </xf>
    <xf numFmtId="4" fontId="17" fillId="0" borderId="2" xfId="0" applyNumberFormat="1" applyFont="1" applyFill="1" applyBorder="1" applyAlignment="1">
      <alignment horizontal="right" vertical="top"/>
    </xf>
    <xf numFmtId="49" fontId="8" fillId="0" borderId="2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>
      <alignment vertical="top" wrapText="1"/>
    </xf>
    <xf numFmtId="4" fontId="14" fillId="0" borderId="2" xfId="0" applyNumberFormat="1" applyFont="1" applyFill="1" applyBorder="1" applyAlignment="1">
      <alignment horizontal="right" vertical="top"/>
    </xf>
    <xf numFmtId="0" fontId="14" fillId="0" borderId="0" xfId="0" applyFont="1" applyFill="1"/>
    <xf numFmtId="0" fontId="16" fillId="2" borderId="2" xfId="0" applyFont="1" applyFill="1" applyBorder="1" applyAlignment="1">
      <alignment horizontal="justify" wrapText="1"/>
    </xf>
    <xf numFmtId="49" fontId="14" fillId="0" borderId="2" xfId="0" applyNumberFormat="1" applyFont="1" applyFill="1" applyBorder="1" applyAlignment="1">
      <alignment horizontal="left" vertical="top" wrapText="1"/>
    </xf>
    <xf numFmtId="49" fontId="8" fillId="0" borderId="10" xfId="0" applyNumberFormat="1" applyFont="1" applyFill="1" applyBorder="1" applyAlignment="1">
      <alignment horizontal="center" wrapText="1"/>
    </xf>
    <xf numFmtId="165" fontId="8" fillId="0" borderId="2" xfId="0" applyNumberFormat="1" applyFont="1" applyFill="1" applyBorder="1" applyAlignment="1">
      <alignment horizontal="right"/>
    </xf>
    <xf numFmtId="49" fontId="8" fillId="0" borderId="2" xfId="0" applyNumberFormat="1" applyFont="1" applyFill="1" applyBorder="1" applyAlignment="1">
      <alignment horizontal="right"/>
    </xf>
    <xf numFmtId="4" fontId="8" fillId="0" borderId="2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49" fontId="10" fillId="0" borderId="2" xfId="0" applyNumberFormat="1" applyFont="1" applyFill="1" applyBorder="1" applyAlignment="1">
      <alignment horizontal="center" vertical="top"/>
    </xf>
    <xf numFmtId="49" fontId="7" fillId="0" borderId="10" xfId="0" applyNumberFormat="1" applyFont="1" applyFill="1" applyBorder="1" applyAlignment="1">
      <alignment horizontal="center" vertical="top" wrapText="1"/>
    </xf>
    <xf numFmtId="165" fontId="10" fillId="0" borderId="2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horizontal="center"/>
    </xf>
    <xf numFmtId="0" fontId="16" fillId="0" borderId="10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top" wrapText="1"/>
    </xf>
    <xf numFmtId="4" fontId="8" fillId="0" borderId="2" xfId="0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horizontal="center"/>
    </xf>
    <xf numFmtId="49" fontId="10" fillId="0" borderId="0" xfId="0" applyNumberFormat="1" applyFont="1" applyFill="1" applyAlignment="1">
      <alignment horizontal="left" vertical="top" wrapText="1"/>
    </xf>
    <xf numFmtId="165" fontId="10" fillId="0" borderId="0" xfId="0" applyNumberFormat="1" applyFont="1" applyFill="1" applyAlignment="1">
      <alignment horizontal="right" vertical="top"/>
    </xf>
    <xf numFmtId="49" fontId="10" fillId="0" borderId="0" xfId="0" applyNumberFormat="1" applyFont="1" applyFill="1" applyAlignment="1">
      <alignment horizontal="left" vertical="top"/>
    </xf>
    <xf numFmtId="4" fontId="10" fillId="0" borderId="0" xfId="0" applyNumberFormat="1" applyFont="1" applyFill="1" applyAlignment="1">
      <alignment horizontal="right" vertical="top"/>
    </xf>
    <xf numFmtId="0" fontId="8" fillId="0" borderId="0" xfId="0" applyFont="1"/>
    <xf numFmtId="49" fontId="2" fillId="0" borderId="0" xfId="0" applyNumberFormat="1" applyFont="1" applyBorder="1" applyAlignment="1">
      <alignment vertical="center" wrapText="1"/>
    </xf>
    <xf numFmtId="49" fontId="10" fillId="0" borderId="2" xfId="0" quotePrefix="1" applyNumberFormat="1" applyFont="1" applyBorder="1" applyAlignment="1">
      <alignment horizontal="left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10" fillId="0" borderId="13" xfId="0" applyNumberFormat="1" applyFont="1" applyBorder="1" applyAlignment="1">
      <alignment horizontal="left" wrapText="1"/>
    </xf>
    <xf numFmtId="49" fontId="10" fillId="0" borderId="13" xfId="0" applyNumberFormat="1" applyFont="1" applyBorder="1" applyAlignment="1">
      <alignment wrapText="1"/>
    </xf>
    <xf numFmtId="49" fontId="10" fillId="0" borderId="3" xfId="0" applyNumberFormat="1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top" wrapText="1"/>
    </xf>
    <xf numFmtId="49" fontId="5" fillId="0" borderId="13" xfId="0" applyNumberFormat="1" applyFont="1" applyBorder="1" applyAlignment="1">
      <alignment horizontal="center" vertical="top" wrapText="1"/>
    </xf>
    <xf numFmtId="49" fontId="2" fillId="0" borderId="13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 vertical="top" wrapText="1"/>
    </xf>
    <xf numFmtId="49" fontId="2" fillId="0" borderId="12" xfId="0" applyNumberFormat="1" applyFont="1" applyBorder="1" applyAlignment="1">
      <alignment horizontal="center" vertical="top" wrapText="1"/>
    </xf>
    <xf numFmtId="165" fontId="2" fillId="0" borderId="14" xfId="0" applyNumberFormat="1" applyFont="1" applyBorder="1" applyAlignment="1">
      <alignment horizontal="center" vertical="top" wrapText="1"/>
    </xf>
    <xf numFmtId="165" fontId="2" fillId="0" borderId="12" xfId="0" applyNumberFormat="1" applyFont="1" applyBorder="1" applyAlignment="1">
      <alignment horizontal="center" vertical="top" wrapText="1"/>
    </xf>
    <xf numFmtId="4" fontId="2" fillId="0" borderId="14" xfId="0" applyNumberFormat="1" applyFont="1" applyBorder="1" applyAlignment="1">
      <alignment horizontal="center" vertical="top" wrapText="1"/>
    </xf>
    <xf numFmtId="4" fontId="2" fillId="0" borderId="12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1"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9"/>
  <sheetViews>
    <sheetView view="pageBreakPreview" topLeftCell="A12" zoomScaleSheetLayoutView="100" workbookViewId="0">
      <selection activeCell="E52" sqref="E52"/>
    </sheetView>
  </sheetViews>
  <sheetFormatPr defaultRowHeight="12.75"/>
  <cols>
    <col min="1" max="1" width="42.5703125" style="47" customWidth="1"/>
    <col min="2" max="2" width="9.140625" style="47" customWidth="1"/>
    <col min="3" max="3" width="26.85546875" style="47" customWidth="1"/>
    <col min="4" max="4" width="17.85546875" style="47" customWidth="1"/>
    <col min="5" max="5" width="16.28515625" style="47" customWidth="1"/>
    <col min="6" max="6" width="15.28515625" style="47" customWidth="1"/>
    <col min="7" max="7" width="17" style="47" customWidth="1"/>
    <col min="8" max="16384" width="9.140625" style="47"/>
  </cols>
  <sheetData>
    <row r="1" spans="1:7" ht="13.5" thickBot="1">
      <c r="A1" s="163" t="s">
        <v>295</v>
      </c>
      <c r="B1" s="163"/>
      <c r="C1" s="163"/>
      <c r="D1" s="163"/>
      <c r="E1" s="48"/>
      <c r="F1" s="48"/>
      <c r="G1" s="49" t="s">
        <v>296</v>
      </c>
    </row>
    <row r="2" spans="1:7">
      <c r="A2" s="50"/>
      <c r="B2" s="50"/>
      <c r="C2" s="51"/>
      <c r="D2" s="52"/>
      <c r="E2" s="53"/>
      <c r="F2" s="53" t="s">
        <v>297</v>
      </c>
      <c r="G2" s="54" t="s">
        <v>365</v>
      </c>
    </row>
    <row r="3" spans="1:7">
      <c r="A3" s="164" t="s">
        <v>430</v>
      </c>
      <c r="B3" s="164"/>
      <c r="C3" s="164"/>
      <c r="D3" s="164"/>
      <c r="E3" s="48"/>
      <c r="F3" s="48" t="s">
        <v>298</v>
      </c>
      <c r="G3" s="55">
        <v>42095</v>
      </c>
    </row>
    <row r="4" spans="1:7">
      <c r="A4" s="50"/>
      <c r="B4" s="50"/>
      <c r="C4" s="51"/>
      <c r="D4" s="52"/>
      <c r="E4" s="48"/>
      <c r="F4" s="48" t="s">
        <v>299</v>
      </c>
      <c r="G4" s="56" t="s">
        <v>366</v>
      </c>
    </row>
    <row r="5" spans="1:7">
      <c r="A5" s="50" t="s">
        <v>300</v>
      </c>
      <c r="B5" s="165" t="s">
        <v>301</v>
      </c>
      <c r="C5" s="166"/>
      <c r="D5" s="166"/>
      <c r="E5" s="48"/>
      <c r="F5" s="48" t="s">
        <v>302</v>
      </c>
      <c r="G5" s="56" t="s">
        <v>367</v>
      </c>
    </row>
    <row r="6" spans="1:7">
      <c r="A6" s="50" t="s">
        <v>303</v>
      </c>
      <c r="B6" s="167" t="s">
        <v>304</v>
      </c>
      <c r="C6" s="167"/>
      <c r="D6" s="167"/>
      <c r="E6" s="48"/>
      <c r="F6" s="48" t="s">
        <v>305</v>
      </c>
      <c r="G6" s="57" t="s">
        <v>368</v>
      </c>
    </row>
    <row r="7" spans="1:7">
      <c r="A7" s="50" t="s">
        <v>306</v>
      </c>
      <c r="B7" s="50"/>
      <c r="C7" s="51"/>
      <c r="D7" s="52"/>
      <c r="E7" s="48"/>
      <c r="F7" s="48"/>
      <c r="G7" s="58"/>
    </row>
    <row r="8" spans="1:7" ht="13.5" thickBot="1">
      <c r="A8" s="50" t="s">
        <v>3</v>
      </c>
      <c r="B8" s="50"/>
      <c r="C8" s="59"/>
      <c r="D8" s="52"/>
      <c r="E8" s="48"/>
      <c r="F8" s="48" t="s">
        <v>307</v>
      </c>
      <c r="G8" s="60" t="s">
        <v>369</v>
      </c>
    </row>
    <row r="9" spans="1:7">
      <c r="A9" s="168" t="s">
        <v>308</v>
      </c>
      <c r="B9" s="168"/>
      <c r="C9" s="168"/>
      <c r="D9" s="168"/>
      <c r="E9" s="61"/>
      <c r="F9" s="61"/>
      <c r="G9" s="62"/>
    </row>
    <row r="10" spans="1:7">
      <c r="A10" s="170" t="s">
        <v>38</v>
      </c>
      <c r="B10" s="170" t="s">
        <v>309</v>
      </c>
      <c r="C10" s="170" t="s">
        <v>310</v>
      </c>
      <c r="D10" s="169" t="s">
        <v>311</v>
      </c>
      <c r="E10" s="169" t="s">
        <v>312</v>
      </c>
      <c r="F10" s="169" t="s">
        <v>5</v>
      </c>
      <c r="G10" s="169" t="s">
        <v>6</v>
      </c>
    </row>
    <row r="11" spans="1:7">
      <c r="A11" s="170"/>
      <c r="B11" s="170"/>
      <c r="C11" s="170"/>
      <c r="D11" s="169"/>
      <c r="E11" s="169"/>
      <c r="F11" s="169"/>
      <c r="G11" s="169"/>
    </row>
    <row r="12" spans="1:7">
      <c r="A12" s="170"/>
      <c r="B12" s="170"/>
      <c r="C12" s="170"/>
      <c r="D12" s="169"/>
      <c r="E12" s="169"/>
      <c r="F12" s="169"/>
      <c r="G12" s="169"/>
    </row>
    <row r="13" spans="1:7">
      <c r="A13" s="170"/>
      <c r="B13" s="170"/>
      <c r="C13" s="170"/>
      <c r="D13" s="169"/>
      <c r="E13" s="169"/>
      <c r="F13" s="169"/>
      <c r="G13" s="169"/>
    </row>
    <row r="14" spans="1:7">
      <c r="A14" s="170"/>
      <c r="B14" s="170"/>
      <c r="C14" s="170"/>
      <c r="D14" s="169"/>
      <c r="E14" s="169"/>
      <c r="F14" s="169"/>
      <c r="G14" s="169"/>
    </row>
    <row r="15" spans="1:7">
      <c r="A15" s="170"/>
      <c r="B15" s="170"/>
      <c r="C15" s="170"/>
      <c r="D15" s="169"/>
      <c r="E15" s="169"/>
      <c r="F15" s="169"/>
      <c r="G15" s="169"/>
    </row>
    <row r="16" spans="1:7">
      <c r="A16" s="170"/>
      <c r="B16" s="170"/>
      <c r="C16" s="170"/>
      <c r="D16" s="169"/>
      <c r="E16" s="169"/>
      <c r="F16" s="169"/>
      <c r="G16" s="169"/>
    </row>
    <row r="17" spans="1:7">
      <c r="A17" s="63">
        <v>1</v>
      </c>
      <c r="B17" s="63">
        <v>2</v>
      </c>
      <c r="C17" s="63">
        <v>3</v>
      </c>
      <c r="D17" s="64" t="s">
        <v>370</v>
      </c>
      <c r="E17" s="64" t="s">
        <v>371</v>
      </c>
      <c r="F17" s="64" t="s">
        <v>371</v>
      </c>
      <c r="G17" s="64" t="s">
        <v>372</v>
      </c>
    </row>
    <row r="18" spans="1:7">
      <c r="A18" s="65" t="s">
        <v>313</v>
      </c>
      <c r="B18" s="66" t="s">
        <v>373</v>
      </c>
      <c r="C18" s="67" t="s">
        <v>314</v>
      </c>
      <c r="D18" s="68">
        <f>D20+D63</f>
        <v>8616917</v>
      </c>
      <c r="E18" s="68">
        <f>E20+E63</f>
        <v>2482039</v>
      </c>
      <c r="F18" s="68">
        <f>F20+F63</f>
        <v>2247134.7000000002</v>
      </c>
      <c r="G18" s="68">
        <f>IF(OR(D18="-",F18=D18),"-",D18-IF(F18="-",0,F18))</f>
        <v>6369782.2999999998</v>
      </c>
    </row>
    <row r="19" spans="1:7">
      <c r="A19" s="69" t="s">
        <v>51</v>
      </c>
      <c r="B19" s="70"/>
      <c r="C19" s="64"/>
      <c r="D19" s="71"/>
      <c r="E19" s="71"/>
      <c r="F19" s="71"/>
      <c r="G19" s="71"/>
    </row>
    <row r="20" spans="1:7" s="160" customFormat="1" ht="21.75" customHeight="1">
      <c r="A20" s="65" t="s">
        <v>315</v>
      </c>
      <c r="B20" s="66" t="s">
        <v>366</v>
      </c>
      <c r="C20" s="67" t="s">
        <v>316</v>
      </c>
      <c r="D20" s="68">
        <f>D21+D34+D40+D53+D59+D62+D61</f>
        <v>819100</v>
      </c>
      <c r="E20" s="68">
        <f>E21+E34+E40+E53+E59+E62+E61+E60</f>
        <v>191300</v>
      </c>
      <c r="F20" s="68">
        <f>F21+F34+F40+F53+F59+F62+F61+F60+F58+F57</f>
        <v>159443.69999999998</v>
      </c>
      <c r="G20" s="68">
        <f t="shared" ref="G20:G79" si="0">IF(OR(D20="-",F20=D20),"-",D20-IF(F20="-",0,F20))</f>
        <v>659656.30000000005</v>
      </c>
    </row>
    <row r="21" spans="1:7" ht="21.75" customHeight="1">
      <c r="A21" s="65" t="s">
        <v>317</v>
      </c>
      <c r="B21" s="66" t="s">
        <v>366</v>
      </c>
      <c r="C21" s="67" t="s">
        <v>374</v>
      </c>
      <c r="D21" s="68">
        <f>D22</f>
        <v>680000</v>
      </c>
      <c r="E21" s="68">
        <f>E22</f>
        <v>170000</v>
      </c>
      <c r="F21" s="68">
        <f>F22</f>
        <v>123448.43999999999</v>
      </c>
      <c r="G21" s="68">
        <f t="shared" si="0"/>
        <v>556551.56000000006</v>
      </c>
    </row>
    <row r="22" spans="1:7" ht="24" customHeight="1">
      <c r="A22" s="69" t="s">
        <v>318</v>
      </c>
      <c r="B22" s="70" t="s">
        <v>366</v>
      </c>
      <c r="C22" s="64" t="s">
        <v>375</v>
      </c>
      <c r="D22" s="71">
        <f>FIO+D27+D30</f>
        <v>680000</v>
      </c>
      <c r="E22" s="71">
        <f>E23+E27+E30</f>
        <v>170000</v>
      </c>
      <c r="F22" s="71">
        <f>F23+F27+F30</f>
        <v>123448.43999999999</v>
      </c>
      <c r="G22" s="71">
        <f t="shared" si="0"/>
        <v>556551.56000000006</v>
      </c>
    </row>
    <row r="23" spans="1:7" ht="78.75" customHeight="1">
      <c r="A23" s="69" t="s">
        <v>319</v>
      </c>
      <c r="B23" s="70" t="s">
        <v>366</v>
      </c>
      <c r="C23" s="64" t="s">
        <v>376</v>
      </c>
      <c r="D23" s="71">
        <f>D24+D25+D26</f>
        <v>600000</v>
      </c>
      <c r="E23" s="71">
        <f>E24+E25+E26</f>
        <v>150000</v>
      </c>
      <c r="F23" s="71">
        <f>F24+F25+F26</f>
        <v>122688.04</v>
      </c>
      <c r="G23" s="71">
        <f t="shared" si="0"/>
        <v>477311.96</v>
      </c>
    </row>
    <row r="24" spans="1:7" ht="115.5" customHeight="1">
      <c r="A24" s="72" t="s">
        <v>320</v>
      </c>
      <c r="B24" s="70" t="s">
        <v>366</v>
      </c>
      <c r="C24" s="64" t="s">
        <v>377</v>
      </c>
      <c r="D24" s="71">
        <v>600000</v>
      </c>
      <c r="E24" s="71">
        <v>150000</v>
      </c>
      <c r="F24" s="71">
        <v>122688.04</v>
      </c>
      <c r="G24" s="71">
        <f>IF(OR(D24="-",F24=D24),"-",D24-IF(F24="-",0,F24))</f>
        <v>477311.96</v>
      </c>
    </row>
    <row r="25" spans="1:7" ht="94.5" hidden="1" customHeight="1">
      <c r="A25" s="72" t="s">
        <v>321</v>
      </c>
      <c r="B25" s="70" t="s">
        <v>366</v>
      </c>
      <c r="C25" s="64" t="s">
        <v>378</v>
      </c>
      <c r="D25" s="71"/>
      <c r="E25" s="71"/>
      <c r="F25" s="71"/>
      <c r="G25" s="71" t="str">
        <f>IF(OR(D25="-",F25=D25),"-",D25-IF(F25="-",0,F25))</f>
        <v>-</v>
      </c>
    </row>
    <row r="26" spans="1:7" ht="119.25" hidden="1" customHeight="1">
      <c r="A26" s="72" t="s">
        <v>322</v>
      </c>
      <c r="B26" s="70" t="s">
        <v>366</v>
      </c>
      <c r="C26" s="64" t="s">
        <v>379</v>
      </c>
      <c r="D26" s="71"/>
      <c r="E26" s="71"/>
      <c r="F26" s="71"/>
      <c r="G26" s="71" t="str">
        <f>IF(OR(D26="-",F26=D26),"-",D26-IF(F26="-",0,F26))</f>
        <v>-</v>
      </c>
    </row>
    <row r="27" spans="1:7" ht="114.75">
      <c r="A27" s="72" t="s">
        <v>323</v>
      </c>
      <c r="B27" s="70" t="s">
        <v>366</v>
      </c>
      <c r="C27" s="64" t="s">
        <v>380</v>
      </c>
      <c r="D27" s="71">
        <f>D28+D29</f>
        <v>80000</v>
      </c>
      <c r="E27" s="71">
        <f>E28+E29</f>
        <v>20000</v>
      </c>
      <c r="F27" s="71">
        <f>F28+F29</f>
        <v>760.4</v>
      </c>
      <c r="G27" s="71">
        <f t="shared" si="0"/>
        <v>79239.600000000006</v>
      </c>
    </row>
    <row r="28" spans="1:7" ht="158.25" customHeight="1">
      <c r="A28" s="72" t="s">
        <v>324</v>
      </c>
      <c r="B28" s="70" t="s">
        <v>366</v>
      </c>
      <c r="C28" s="64" t="s">
        <v>381</v>
      </c>
      <c r="D28" s="71">
        <v>80000</v>
      </c>
      <c r="E28" s="71">
        <v>20000</v>
      </c>
      <c r="F28" s="71">
        <v>760.4</v>
      </c>
      <c r="G28" s="71">
        <f t="shared" si="0"/>
        <v>79239.600000000006</v>
      </c>
    </row>
    <row r="29" spans="1:7" ht="125.25" hidden="1" customHeight="1">
      <c r="A29" s="72" t="s">
        <v>325</v>
      </c>
      <c r="B29" s="70" t="s">
        <v>366</v>
      </c>
      <c r="C29" s="64" t="s">
        <v>382</v>
      </c>
      <c r="D29" s="71"/>
      <c r="E29" s="71"/>
      <c r="F29" s="71"/>
      <c r="G29" s="71" t="str">
        <f>IF(OR(D29="-",F29=D29),"-",D29-IF(F29="-",0,F29))</f>
        <v>-</v>
      </c>
    </row>
    <row r="30" spans="1:7" ht="76.5" hidden="1" customHeight="1">
      <c r="A30" s="72" t="s">
        <v>326</v>
      </c>
      <c r="B30" s="70" t="s">
        <v>366</v>
      </c>
      <c r="C30" s="64" t="s">
        <v>383</v>
      </c>
      <c r="D30" s="71">
        <f>D31+D33+D32</f>
        <v>0</v>
      </c>
      <c r="E30" s="71">
        <f>E31+E33+E32</f>
        <v>0</v>
      </c>
      <c r="F30" s="71">
        <f>F31+F33+F32</f>
        <v>0</v>
      </c>
      <c r="G30" s="71" t="str">
        <f>IF(OR(D30="-",F30=D30),"-",D30-IF(F30="-",0,F30))</f>
        <v>-</v>
      </c>
    </row>
    <row r="31" spans="1:7" ht="76.5" hidden="1" customHeight="1">
      <c r="A31" s="72" t="s">
        <v>326</v>
      </c>
      <c r="B31" s="70" t="s">
        <v>366</v>
      </c>
      <c r="C31" s="64" t="s">
        <v>384</v>
      </c>
      <c r="D31" s="71"/>
      <c r="E31" s="71"/>
      <c r="F31" s="71"/>
      <c r="G31" s="71" t="str">
        <f>IF(OR(D31="-",F31=D31),"-",D31-IF(F31="-",0,F31))</f>
        <v>-</v>
      </c>
    </row>
    <row r="32" spans="1:7" ht="79.5" hidden="1" customHeight="1">
      <c r="A32" s="72" t="s">
        <v>326</v>
      </c>
      <c r="B32" s="70" t="s">
        <v>366</v>
      </c>
      <c r="C32" s="64" t="s">
        <v>385</v>
      </c>
      <c r="D32" s="71"/>
      <c r="E32" s="71"/>
      <c r="F32" s="71"/>
      <c r="G32" s="71" t="str">
        <f>IF(OR(D32="-",F32=D32),"-",D32-IF(F32="-",0,F32))</f>
        <v>-</v>
      </c>
    </row>
    <row r="33" spans="1:7" ht="84.75" hidden="1" customHeight="1">
      <c r="A33" s="72" t="s">
        <v>326</v>
      </c>
      <c r="B33" s="70" t="s">
        <v>366</v>
      </c>
      <c r="C33" s="64" t="s">
        <v>386</v>
      </c>
      <c r="D33" s="71"/>
      <c r="E33" s="71"/>
      <c r="F33" s="71"/>
      <c r="G33" s="71" t="str">
        <f>IF(OR(D33="-",F33=D33),"-",D33-IF(F33="-",0,F33))</f>
        <v>-</v>
      </c>
    </row>
    <row r="34" spans="1:7" ht="45" customHeight="1">
      <c r="A34" s="65" t="s">
        <v>327</v>
      </c>
      <c r="B34" s="66" t="s">
        <v>366</v>
      </c>
      <c r="C34" s="67" t="s">
        <v>387</v>
      </c>
      <c r="D34" s="68">
        <f>D35</f>
        <v>72400</v>
      </c>
      <c r="E34" s="68">
        <f>E35</f>
        <v>18100</v>
      </c>
      <c r="F34" s="68">
        <f>F35</f>
        <v>23321.96</v>
      </c>
      <c r="G34" s="68">
        <f t="shared" si="0"/>
        <v>49078.04</v>
      </c>
    </row>
    <row r="35" spans="1:7" ht="38.25">
      <c r="A35" s="69" t="s">
        <v>328</v>
      </c>
      <c r="B35" s="70" t="s">
        <v>366</v>
      </c>
      <c r="C35" s="64" t="s">
        <v>388</v>
      </c>
      <c r="D35" s="71">
        <f>D36+D37+D38+D39</f>
        <v>72400</v>
      </c>
      <c r="E35" s="71">
        <f>E36+E37+E38+E39</f>
        <v>18100</v>
      </c>
      <c r="F35" s="71">
        <f>F36+F37+F38+F39</f>
        <v>23321.96</v>
      </c>
      <c r="G35" s="71">
        <f t="shared" si="0"/>
        <v>49078.04</v>
      </c>
    </row>
    <row r="36" spans="1:7" ht="38.25">
      <c r="A36" s="69" t="s">
        <v>329</v>
      </c>
      <c r="B36" s="70" t="s">
        <v>366</v>
      </c>
      <c r="C36" s="64" t="s">
        <v>389</v>
      </c>
      <c r="D36" s="71">
        <v>22200</v>
      </c>
      <c r="E36" s="71">
        <v>5550</v>
      </c>
      <c r="F36" s="71">
        <v>7884.75</v>
      </c>
      <c r="G36" s="71">
        <f t="shared" si="0"/>
        <v>14315.25</v>
      </c>
    </row>
    <row r="37" spans="1:7" ht="59.25" customHeight="1">
      <c r="A37" s="69" t="s">
        <v>330</v>
      </c>
      <c r="B37" s="70" t="s">
        <v>366</v>
      </c>
      <c r="C37" s="64" t="s">
        <v>390</v>
      </c>
      <c r="D37" s="71">
        <v>800</v>
      </c>
      <c r="E37" s="71">
        <v>200</v>
      </c>
      <c r="F37" s="71">
        <v>176.7</v>
      </c>
      <c r="G37" s="71">
        <f t="shared" si="0"/>
        <v>623.29999999999995</v>
      </c>
    </row>
    <row r="38" spans="1:7" ht="60.75" customHeight="1">
      <c r="A38" s="69" t="s">
        <v>331</v>
      </c>
      <c r="B38" s="70" t="s">
        <v>366</v>
      </c>
      <c r="C38" s="64" t="s">
        <v>391</v>
      </c>
      <c r="D38" s="71">
        <v>48500</v>
      </c>
      <c r="E38" s="71">
        <v>12125</v>
      </c>
      <c r="F38" s="71">
        <v>15774.53</v>
      </c>
      <c r="G38" s="71">
        <f>IF(OR(D38="-",F38=D38),"-",D38-IF(F38="-",0,F38))</f>
        <v>32725.47</v>
      </c>
    </row>
    <row r="39" spans="1:7" ht="59.25" customHeight="1">
      <c r="A39" s="69" t="s">
        <v>332</v>
      </c>
      <c r="B39" s="70" t="s">
        <v>366</v>
      </c>
      <c r="C39" s="64" t="s">
        <v>392</v>
      </c>
      <c r="D39" s="71">
        <v>900</v>
      </c>
      <c r="E39" s="71">
        <v>225</v>
      </c>
      <c r="F39" s="71">
        <v>-514.02</v>
      </c>
      <c r="G39" s="71">
        <f>D39-F39</f>
        <v>1414.02</v>
      </c>
    </row>
    <row r="40" spans="1:7">
      <c r="A40" s="65" t="s">
        <v>333</v>
      </c>
      <c r="B40" s="66" t="s">
        <v>366</v>
      </c>
      <c r="C40" s="67" t="s">
        <v>393</v>
      </c>
      <c r="D40" s="68">
        <f>D41+D46</f>
        <v>53900</v>
      </c>
      <c r="E40" s="68">
        <f>E41+E46</f>
        <v>0</v>
      </c>
      <c r="F40" s="68">
        <f>F41+F46</f>
        <v>6073.4699999999993</v>
      </c>
      <c r="G40" s="68">
        <f t="shared" si="0"/>
        <v>47826.53</v>
      </c>
    </row>
    <row r="41" spans="1:7">
      <c r="A41" s="65" t="s">
        <v>334</v>
      </c>
      <c r="B41" s="66" t="s">
        <v>366</v>
      </c>
      <c r="C41" s="67" t="s">
        <v>394</v>
      </c>
      <c r="D41" s="68">
        <f>D42</f>
        <v>33500</v>
      </c>
      <c r="E41" s="68">
        <f>E42</f>
        <v>0</v>
      </c>
      <c r="F41" s="68">
        <f>F42</f>
        <v>3669.8499999999995</v>
      </c>
      <c r="G41" s="68">
        <f t="shared" si="0"/>
        <v>29830.15</v>
      </c>
    </row>
    <row r="42" spans="1:7" ht="54" customHeight="1">
      <c r="A42" s="69" t="s">
        <v>335</v>
      </c>
      <c r="B42" s="70" t="s">
        <v>366</v>
      </c>
      <c r="C42" s="64" t="s">
        <v>395</v>
      </c>
      <c r="D42" s="71">
        <f>D43+D44</f>
        <v>33500</v>
      </c>
      <c r="E42" s="71">
        <f>E43+E44</f>
        <v>0</v>
      </c>
      <c r="F42" s="71">
        <f>F43+F44+F45</f>
        <v>3669.8499999999995</v>
      </c>
      <c r="G42" s="71">
        <f t="shared" si="0"/>
        <v>29830.15</v>
      </c>
    </row>
    <row r="43" spans="1:7" ht="86.25" customHeight="1">
      <c r="A43" s="69" t="s">
        <v>438</v>
      </c>
      <c r="B43" s="70" t="s">
        <v>366</v>
      </c>
      <c r="C43" s="64" t="s">
        <v>396</v>
      </c>
      <c r="D43" s="71">
        <v>33500</v>
      </c>
      <c r="E43" s="71"/>
      <c r="F43" s="71">
        <v>3658.87</v>
      </c>
      <c r="G43" s="71">
        <f t="shared" si="0"/>
        <v>29841.13</v>
      </c>
    </row>
    <row r="44" spans="1:7" ht="57.75" customHeight="1">
      <c r="A44" s="69" t="s">
        <v>336</v>
      </c>
      <c r="B44" s="70" t="s">
        <v>366</v>
      </c>
      <c r="C44" s="64" t="s">
        <v>428</v>
      </c>
      <c r="D44" s="71"/>
      <c r="E44" s="71"/>
      <c r="F44" s="71">
        <v>8.99</v>
      </c>
      <c r="G44" s="71">
        <f t="shared" si="0"/>
        <v>-8.99</v>
      </c>
    </row>
    <row r="45" spans="1:7" ht="53.25" customHeight="1">
      <c r="A45" s="69" t="s">
        <v>337</v>
      </c>
      <c r="B45" s="70" t="s">
        <v>366</v>
      </c>
      <c r="C45" s="64" t="s">
        <v>397</v>
      </c>
      <c r="D45" s="71"/>
      <c r="E45" s="71"/>
      <c r="F45" s="71">
        <v>1.99</v>
      </c>
      <c r="G45" s="71">
        <f>IF(OR(D45="-",F45=D45),"-",D45-IF(F45="-",0,F45))</f>
        <v>-1.99</v>
      </c>
    </row>
    <row r="46" spans="1:7">
      <c r="A46" s="65" t="s">
        <v>338</v>
      </c>
      <c r="B46" s="66" t="s">
        <v>366</v>
      </c>
      <c r="C46" s="67" t="s">
        <v>398</v>
      </c>
      <c r="D46" s="68">
        <f>D48+D50+D49+D51+D52</f>
        <v>20400</v>
      </c>
      <c r="E46" s="68">
        <f>E48+E50+E49+E51+E52</f>
        <v>0</v>
      </c>
      <c r="F46" s="68">
        <f>F48+F50+F49+F51+F52</f>
        <v>2403.62</v>
      </c>
      <c r="G46" s="68">
        <f t="shared" si="0"/>
        <v>17996.38</v>
      </c>
    </row>
    <row r="47" spans="1:7" ht="78" hidden="1" customHeight="1">
      <c r="A47" s="69" t="s">
        <v>339</v>
      </c>
      <c r="B47" s="70" t="s">
        <v>366</v>
      </c>
      <c r="C47" s="64" t="s">
        <v>399</v>
      </c>
      <c r="D47" s="71"/>
      <c r="E47" s="71"/>
      <c r="F47" s="71"/>
      <c r="G47" s="71" t="str">
        <f>IF(OR(D47="-",F47=D47),"-",D47-IF(F47="-",0,F47))</f>
        <v>-</v>
      </c>
    </row>
    <row r="48" spans="1:7" ht="71.25" customHeight="1">
      <c r="A48" s="73" t="s">
        <v>439</v>
      </c>
      <c r="B48" s="70" t="s">
        <v>366</v>
      </c>
      <c r="C48" s="64" t="s">
        <v>427</v>
      </c>
      <c r="D48" s="71">
        <v>6800</v>
      </c>
      <c r="E48" s="71"/>
      <c r="F48" s="71">
        <v>315</v>
      </c>
      <c r="G48" s="71">
        <f>IF(OR(D48="-",F48=D48),"-",D48-IF(F48="-",0,F48))</f>
        <v>6485</v>
      </c>
    </row>
    <row r="49" spans="1:7" ht="60" customHeight="1">
      <c r="A49" s="73" t="s">
        <v>440</v>
      </c>
      <c r="B49" s="70" t="s">
        <v>366</v>
      </c>
      <c r="C49" s="64" t="s">
        <v>431</v>
      </c>
      <c r="D49" s="71">
        <v>0</v>
      </c>
      <c r="E49" s="71"/>
      <c r="F49" s="71">
        <v>11.82</v>
      </c>
      <c r="G49" s="71">
        <f>IF(OR(D49="-",F49=D49),"-",D49-IF(F49="-",0,F49))</f>
        <v>-11.82</v>
      </c>
    </row>
    <row r="50" spans="1:7" ht="72" customHeight="1">
      <c r="A50" s="73" t="s">
        <v>436</v>
      </c>
      <c r="B50" s="70" t="s">
        <v>366</v>
      </c>
      <c r="C50" s="64" t="s">
        <v>429</v>
      </c>
      <c r="D50" s="71">
        <v>13600</v>
      </c>
      <c r="E50" s="71"/>
      <c r="F50" s="71">
        <v>2065.56</v>
      </c>
      <c r="G50" s="71">
        <f t="shared" si="0"/>
        <v>11534.44</v>
      </c>
    </row>
    <row r="51" spans="1:7" ht="60" customHeight="1">
      <c r="A51" s="73" t="s">
        <v>437</v>
      </c>
      <c r="B51" s="70" t="s">
        <v>366</v>
      </c>
      <c r="C51" s="64" t="s">
        <v>432</v>
      </c>
      <c r="D51" s="71"/>
      <c r="E51" s="71"/>
      <c r="F51" s="71">
        <v>11.24</v>
      </c>
      <c r="G51" s="71">
        <f>IF(OR(D51="-",F51=D51),"-",D51-IF(F51="-",0,F51))</f>
        <v>-11.24</v>
      </c>
    </row>
    <row r="52" spans="1:7" ht="92.25" customHeight="1">
      <c r="A52" s="73" t="s">
        <v>340</v>
      </c>
      <c r="B52" s="70" t="s">
        <v>366</v>
      </c>
      <c r="C52" s="64" t="s">
        <v>433</v>
      </c>
      <c r="D52" s="71"/>
      <c r="E52" s="71"/>
      <c r="F52" s="71">
        <v>0</v>
      </c>
      <c r="G52" s="71" t="str">
        <f>IF(OR(D52="-",F52=D52),"-",D52-IF(F52="-",0,F52))</f>
        <v>-</v>
      </c>
    </row>
    <row r="53" spans="1:7">
      <c r="A53" s="65" t="s">
        <v>341</v>
      </c>
      <c r="B53" s="66" t="s">
        <v>366</v>
      </c>
      <c r="C53" s="67" t="s">
        <v>400</v>
      </c>
      <c r="D53" s="68">
        <f t="shared" ref="D53:F55" si="1">D54</f>
        <v>7000</v>
      </c>
      <c r="E53" s="68">
        <f t="shared" si="1"/>
        <v>1750</v>
      </c>
      <c r="F53" s="68">
        <f t="shared" si="1"/>
        <v>1200</v>
      </c>
      <c r="G53" s="68">
        <f t="shared" si="0"/>
        <v>5800</v>
      </c>
    </row>
    <row r="54" spans="1:7" ht="60" customHeight="1">
      <c r="A54" s="69" t="s">
        <v>342</v>
      </c>
      <c r="B54" s="70" t="s">
        <v>366</v>
      </c>
      <c r="C54" s="64" t="s">
        <v>401</v>
      </c>
      <c r="D54" s="71">
        <f t="shared" si="1"/>
        <v>7000</v>
      </c>
      <c r="E54" s="71">
        <f t="shared" si="1"/>
        <v>1750</v>
      </c>
      <c r="F54" s="71">
        <f t="shared" si="1"/>
        <v>1200</v>
      </c>
      <c r="G54" s="71">
        <f t="shared" si="0"/>
        <v>5800</v>
      </c>
    </row>
    <row r="55" spans="1:7" ht="81" customHeight="1">
      <c r="A55" s="69" t="s">
        <v>343</v>
      </c>
      <c r="B55" s="70" t="s">
        <v>366</v>
      </c>
      <c r="C55" s="64" t="s">
        <v>402</v>
      </c>
      <c r="D55" s="71">
        <f t="shared" si="1"/>
        <v>7000</v>
      </c>
      <c r="E55" s="71">
        <f t="shared" si="1"/>
        <v>1750</v>
      </c>
      <c r="F55" s="71">
        <f t="shared" si="1"/>
        <v>1200</v>
      </c>
      <c r="G55" s="71">
        <f t="shared" si="0"/>
        <v>5800</v>
      </c>
    </row>
    <row r="56" spans="1:7" ht="90" customHeight="1">
      <c r="A56" s="69" t="s">
        <v>344</v>
      </c>
      <c r="B56" s="70" t="s">
        <v>366</v>
      </c>
      <c r="C56" s="64" t="s">
        <v>403</v>
      </c>
      <c r="D56" s="71">
        <v>7000</v>
      </c>
      <c r="E56" s="71">
        <v>1750</v>
      </c>
      <c r="F56" s="71">
        <v>1200</v>
      </c>
      <c r="G56" s="71">
        <f t="shared" si="0"/>
        <v>5800</v>
      </c>
    </row>
    <row r="57" spans="1:7" ht="50.25" customHeight="1">
      <c r="A57" s="69" t="s">
        <v>435</v>
      </c>
      <c r="B57" s="70"/>
      <c r="C57" s="64" t="s">
        <v>441</v>
      </c>
      <c r="D57" s="71"/>
      <c r="E57" s="71"/>
      <c r="F57" s="71">
        <v>1604.83</v>
      </c>
      <c r="G57" s="71">
        <f t="shared" si="0"/>
        <v>-1604.83</v>
      </c>
    </row>
    <row r="58" spans="1:7" ht="33" customHeight="1">
      <c r="A58" s="162" t="s">
        <v>434</v>
      </c>
      <c r="B58" s="70"/>
      <c r="C58" s="64" t="s">
        <v>442</v>
      </c>
      <c r="D58" s="71"/>
      <c r="E58" s="71"/>
      <c r="F58" s="71">
        <v>3600</v>
      </c>
      <c r="G58" s="71">
        <f t="shared" si="0"/>
        <v>-3600</v>
      </c>
    </row>
    <row r="59" spans="1:7" ht="44.25" customHeight="1">
      <c r="A59" s="65" t="s">
        <v>345</v>
      </c>
      <c r="B59" s="66"/>
      <c r="C59" s="67" t="s">
        <v>404</v>
      </c>
      <c r="D59" s="68">
        <v>5800</v>
      </c>
      <c r="E59" s="68">
        <v>1450</v>
      </c>
      <c r="F59" s="68">
        <v>0</v>
      </c>
      <c r="G59" s="68">
        <f t="shared" si="0"/>
        <v>5800</v>
      </c>
    </row>
    <row r="60" spans="1:7" hidden="1">
      <c r="A60" s="69" t="s">
        <v>346</v>
      </c>
      <c r="B60" s="70"/>
      <c r="C60" s="64" t="s">
        <v>405</v>
      </c>
      <c r="D60" s="71"/>
      <c r="E60" s="71"/>
      <c r="F60" s="71"/>
      <c r="G60" s="71" t="str">
        <f>IF(OR(D60="-",F60=D60),"-",D60-IF(F60="-",0,F60))</f>
        <v>-</v>
      </c>
    </row>
    <row r="61" spans="1:7" hidden="1">
      <c r="A61" s="69" t="s">
        <v>347</v>
      </c>
      <c r="B61" s="70"/>
      <c r="C61" s="64" t="s">
        <v>406</v>
      </c>
      <c r="D61" s="71"/>
      <c r="E61" s="71"/>
      <c r="F61" s="71"/>
      <c r="G61" s="71" t="str">
        <f t="shared" si="0"/>
        <v>-</v>
      </c>
    </row>
    <row r="62" spans="1:7" ht="25.5">
      <c r="A62" s="69" t="s">
        <v>348</v>
      </c>
      <c r="B62" s="70"/>
      <c r="C62" s="64" t="s">
        <v>407</v>
      </c>
      <c r="D62" s="71"/>
      <c r="E62" s="71"/>
      <c r="F62" s="71">
        <v>195</v>
      </c>
      <c r="G62" s="71">
        <f>IF(OR(D62="-",F62=D62),"-",D62-IF(F62="-",0,F62))</f>
        <v>-195</v>
      </c>
    </row>
    <row r="63" spans="1:7" ht="27" customHeight="1">
      <c r="A63" s="65" t="s">
        <v>349</v>
      </c>
      <c r="B63" s="66" t="s">
        <v>366</v>
      </c>
      <c r="C63" s="67" t="s">
        <v>408</v>
      </c>
      <c r="D63" s="68">
        <f>D64</f>
        <v>7797817</v>
      </c>
      <c r="E63" s="68">
        <f>E64</f>
        <v>2290739</v>
      </c>
      <c r="F63" s="68">
        <f>F64</f>
        <v>2087691</v>
      </c>
      <c r="G63" s="68">
        <f t="shared" si="0"/>
        <v>5710126</v>
      </c>
    </row>
    <row r="64" spans="1:7" ht="47.25" customHeight="1">
      <c r="A64" s="69" t="s">
        <v>350</v>
      </c>
      <c r="B64" s="70" t="s">
        <v>366</v>
      </c>
      <c r="C64" s="64" t="s">
        <v>409</v>
      </c>
      <c r="D64" s="71">
        <f>D65+D70+D79++D73+D74+D75+D77+D76+D78</f>
        <v>7797817</v>
      </c>
      <c r="E64" s="71">
        <f>E65+E70+E79++E73+E74+E75+E77+E76+E78</f>
        <v>2290739</v>
      </c>
      <c r="F64" s="71">
        <f>F65+F70+F79++F73+F74+F75+F77+F76+F78</f>
        <v>2087691</v>
      </c>
      <c r="G64" s="71">
        <f t="shared" si="0"/>
        <v>5710126</v>
      </c>
    </row>
    <row r="65" spans="1:7" ht="25.5">
      <c r="A65" s="69" t="s">
        <v>351</v>
      </c>
      <c r="B65" s="70" t="s">
        <v>366</v>
      </c>
      <c r="C65" s="64" t="s">
        <v>410</v>
      </c>
      <c r="D65" s="71">
        <f>D66+D68</f>
        <v>7317711</v>
      </c>
      <c r="E65" s="71">
        <f>E66+E68</f>
        <v>2195313</v>
      </c>
      <c r="F65" s="71">
        <f>F66+F68</f>
        <v>2066527</v>
      </c>
      <c r="G65" s="71">
        <f t="shared" si="0"/>
        <v>5251184</v>
      </c>
    </row>
    <row r="66" spans="1:7" ht="25.5">
      <c r="A66" s="69" t="s">
        <v>352</v>
      </c>
      <c r="B66" s="70" t="s">
        <v>366</v>
      </c>
      <c r="C66" s="64" t="s">
        <v>411</v>
      </c>
      <c r="D66" s="71">
        <f>D67</f>
        <v>461142</v>
      </c>
      <c r="E66" s="71">
        <f>E67</f>
        <v>247142</v>
      </c>
      <c r="F66" s="71">
        <f>F67</f>
        <v>247143</v>
      </c>
      <c r="G66" s="71">
        <f t="shared" si="0"/>
        <v>213999</v>
      </c>
    </row>
    <row r="67" spans="1:7" ht="25.5">
      <c r="A67" s="69" t="s">
        <v>353</v>
      </c>
      <c r="B67" s="70" t="s">
        <v>366</v>
      </c>
      <c r="C67" s="64" t="s">
        <v>412</v>
      </c>
      <c r="D67" s="71">
        <v>461142</v>
      </c>
      <c r="E67" s="71">
        <v>247142</v>
      </c>
      <c r="F67" s="71">
        <v>247143</v>
      </c>
      <c r="G67" s="71">
        <f t="shared" si="0"/>
        <v>213999</v>
      </c>
    </row>
    <row r="68" spans="1:7" ht="25.5">
      <c r="A68" s="69" t="s">
        <v>354</v>
      </c>
      <c r="B68" s="70" t="s">
        <v>366</v>
      </c>
      <c r="C68" s="64" t="s">
        <v>413</v>
      </c>
      <c r="D68" s="71">
        <f>D69</f>
        <v>6856569</v>
      </c>
      <c r="E68" s="71">
        <f>E69</f>
        <v>1948171</v>
      </c>
      <c r="F68" s="71">
        <f>F69</f>
        <v>1819384</v>
      </c>
      <c r="G68" s="71">
        <f t="shared" si="0"/>
        <v>5037185</v>
      </c>
    </row>
    <row r="69" spans="1:7" ht="25.5">
      <c r="A69" s="69" t="s">
        <v>355</v>
      </c>
      <c r="B69" s="70" t="s">
        <v>366</v>
      </c>
      <c r="C69" s="64" t="s">
        <v>414</v>
      </c>
      <c r="D69" s="71">
        <v>6856569</v>
      </c>
      <c r="E69" s="71">
        <v>1948171</v>
      </c>
      <c r="F69" s="71">
        <v>1819384</v>
      </c>
      <c r="G69" s="71">
        <f t="shared" si="0"/>
        <v>5037185</v>
      </c>
    </row>
    <row r="70" spans="1:7" ht="25.5">
      <c r="A70" s="74" t="s">
        <v>356</v>
      </c>
      <c r="B70" s="75"/>
      <c r="C70" s="64" t="s">
        <v>415</v>
      </c>
      <c r="D70" s="71">
        <f t="shared" ref="D70:F71" si="2">D71</f>
        <v>83500</v>
      </c>
      <c r="E70" s="71">
        <f t="shared" si="2"/>
        <v>20875</v>
      </c>
      <c r="F70" s="71">
        <f t="shared" si="2"/>
        <v>20874</v>
      </c>
      <c r="G70" s="71">
        <f t="shared" si="0"/>
        <v>62626</v>
      </c>
    </row>
    <row r="71" spans="1:7" ht="80.25" customHeight="1">
      <c r="A71" s="74" t="s">
        <v>357</v>
      </c>
      <c r="B71" s="75"/>
      <c r="C71" s="64" t="s">
        <v>416</v>
      </c>
      <c r="D71" s="71">
        <f t="shared" si="2"/>
        <v>83500</v>
      </c>
      <c r="E71" s="71">
        <f t="shared" si="2"/>
        <v>20875</v>
      </c>
      <c r="F71" s="71">
        <f t="shared" si="2"/>
        <v>20874</v>
      </c>
      <c r="G71" s="71">
        <f t="shared" si="0"/>
        <v>62626</v>
      </c>
    </row>
    <row r="72" spans="1:7" ht="85.5" customHeight="1">
      <c r="A72" s="74" t="s">
        <v>357</v>
      </c>
      <c r="B72" s="75"/>
      <c r="C72" s="64" t="s">
        <v>417</v>
      </c>
      <c r="D72" s="71">
        <v>83500</v>
      </c>
      <c r="E72" s="71">
        <v>20875</v>
      </c>
      <c r="F72" s="71">
        <v>20874</v>
      </c>
      <c r="G72" s="71">
        <f t="shared" si="0"/>
        <v>62626</v>
      </c>
    </row>
    <row r="73" spans="1:7" ht="109.5" customHeight="1">
      <c r="A73" s="74" t="s">
        <v>358</v>
      </c>
      <c r="B73" s="76"/>
      <c r="C73" s="64" t="s">
        <v>418</v>
      </c>
      <c r="D73" s="71">
        <v>2206</v>
      </c>
      <c r="E73" s="71">
        <v>551</v>
      </c>
      <c r="F73" s="71">
        <v>290</v>
      </c>
      <c r="G73" s="71">
        <f t="shared" si="0"/>
        <v>1916</v>
      </c>
    </row>
    <row r="74" spans="1:7" ht="54" hidden="1" customHeight="1">
      <c r="A74" s="77" t="s">
        <v>359</v>
      </c>
      <c r="B74" s="76"/>
      <c r="C74" s="64" t="s">
        <v>419</v>
      </c>
      <c r="D74" s="71"/>
      <c r="E74" s="71"/>
      <c r="F74" s="71"/>
      <c r="G74" s="71" t="str">
        <f t="shared" si="0"/>
        <v>-</v>
      </c>
    </row>
    <row r="75" spans="1:7" ht="62.25" hidden="1" customHeight="1">
      <c r="A75" s="77" t="s">
        <v>360</v>
      </c>
      <c r="B75" s="76"/>
      <c r="C75" s="64" t="s">
        <v>420</v>
      </c>
      <c r="D75" s="71"/>
      <c r="E75" s="71"/>
      <c r="F75" s="71"/>
      <c r="G75" s="71" t="str">
        <f t="shared" si="0"/>
        <v>-</v>
      </c>
    </row>
    <row r="76" spans="1:7" ht="114" hidden="1" customHeight="1">
      <c r="A76" s="74" t="s">
        <v>361</v>
      </c>
      <c r="B76" s="76"/>
      <c r="C76" s="64" t="s">
        <v>421</v>
      </c>
      <c r="D76" s="71"/>
      <c r="E76" s="71"/>
      <c r="F76" s="71"/>
      <c r="G76" s="71" t="str">
        <f t="shared" si="0"/>
        <v>-</v>
      </c>
    </row>
    <row r="77" spans="1:7" ht="120" customHeight="1">
      <c r="A77" s="74" t="s">
        <v>362</v>
      </c>
      <c r="B77" s="76"/>
      <c r="C77" s="64" t="s">
        <v>422</v>
      </c>
      <c r="D77" s="71">
        <v>394400</v>
      </c>
      <c r="E77" s="71">
        <v>74000</v>
      </c>
      <c r="F77" s="71"/>
      <c r="G77" s="71">
        <f t="shared" si="0"/>
        <v>394400</v>
      </c>
    </row>
    <row r="78" spans="1:7" ht="144.75" hidden="1" customHeight="1">
      <c r="A78" s="74" t="s">
        <v>363</v>
      </c>
      <c r="B78" s="76"/>
      <c r="C78" s="64" t="s">
        <v>423</v>
      </c>
      <c r="D78" s="71"/>
      <c r="E78" s="71"/>
      <c r="F78" s="71"/>
      <c r="G78" s="71" t="str">
        <f t="shared" si="0"/>
        <v>-</v>
      </c>
    </row>
    <row r="79" spans="1:7" ht="99.75" hidden="1" customHeight="1">
      <c r="A79" s="74" t="s">
        <v>364</v>
      </c>
      <c r="B79" s="76"/>
      <c r="C79" s="64" t="s">
        <v>424</v>
      </c>
      <c r="D79" s="71"/>
      <c r="E79" s="71"/>
      <c r="F79" s="71"/>
      <c r="G79" s="71" t="str">
        <f t="shared" si="0"/>
        <v>-</v>
      </c>
    </row>
  </sheetData>
  <mergeCells count="12">
    <mergeCell ref="G10:G16"/>
    <mergeCell ref="A10:A16"/>
    <mergeCell ref="B10:B16"/>
    <mergeCell ref="C10:C16"/>
    <mergeCell ref="D10:D16"/>
    <mergeCell ref="E10:E16"/>
    <mergeCell ref="F10:F16"/>
    <mergeCell ref="A1:D1"/>
    <mergeCell ref="A3:D3"/>
    <mergeCell ref="B5:D5"/>
    <mergeCell ref="B6:D6"/>
    <mergeCell ref="A9:D9"/>
  </mergeCells>
  <conditionalFormatting sqref="G18:G79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landscape" verticalDpi="0" r:id="rId1"/>
  <rowBreaks count="4" manualBreakCount="4">
    <brk id="26" max="6" man="1"/>
    <brk id="39" max="16383" man="1"/>
    <brk id="50" max="16383" man="1"/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271"/>
  <sheetViews>
    <sheetView tabSelected="1" view="pageBreakPreview" topLeftCell="A11" zoomScaleSheetLayoutView="100" workbookViewId="0">
      <pane xSplit="2" ySplit="3" topLeftCell="C104" activePane="bottomRight" state="frozen"/>
      <selection activeCell="A11" sqref="A11"/>
      <selection pane="topRight" activeCell="C11" sqref="C11"/>
      <selection pane="bottomLeft" activeCell="A14" sqref="A14"/>
      <selection pane="bottomRight" activeCell="D224" sqref="D224"/>
    </sheetView>
  </sheetViews>
  <sheetFormatPr defaultRowHeight="12.75"/>
  <cols>
    <col min="1" max="1" width="42.5703125" style="156" customWidth="1"/>
    <col min="2" max="2" width="4.7109375" style="157" customWidth="1"/>
    <col min="3" max="3" width="23.7109375" style="158" customWidth="1"/>
    <col min="4" max="4" width="15.7109375" style="159" customWidth="1"/>
    <col min="5" max="5" width="12.7109375" style="159" customWidth="1"/>
    <col min="6" max="6" width="12.7109375" style="159" hidden="1" customWidth="1"/>
    <col min="7" max="8" width="0" style="159" hidden="1" customWidth="1"/>
    <col min="9" max="9" width="14" style="159" customWidth="1"/>
    <col min="10" max="11" width="12.7109375" style="159" customWidth="1"/>
    <col min="12" max="16384" width="9.140625" style="97"/>
  </cols>
  <sheetData>
    <row r="1" spans="1:11" s="80" customFormat="1" ht="30" hidden="1" customHeight="1">
      <c r="C1" s="80" t="s">
        <v>0</v>
      </c>
    </row>
    <row r="2" spans="1:11" s="80" customFormat="1" hidden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s="80" customFormat="1" hidden="1">
      <c r="A3" s="81"/>
      <c r="B3" s="81"/>
      <c r="C3" s="81" t="s">
        <v>1</v>
      </c>
      <c r="D3" s="81"/>
      <c r="E3" s="81"/>
      <c r="F3" s="81"/>
      <c r="G3" s="81"/>
      <c r="H3" s="81"/>
      <c r="I3" s="81"/>
      <c r="J3" s="81"/>
      <c r="K3" s="81"/>
    </row>
    <row r="4" spans="1:11" s="80" customFormat="1" hidden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s="80" customFormat="1" hidden="1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1" s="80" customFormat="1" hidden="1">
      <c r="A6" s="81" t="s">
        <v>2</v>
      </c>
      <c r="B6" s="81"/>
      <c r="C6" s="81"/>
      <c r="D6" s="81"/>
      <c r="E6" s="81"/>
      <c r="F6" s="81"/>
      <c r="G6" s="81"/>
      <c r="H6" s="81"/>
      <c r="I6" s="81"/>
      <c r="J6" s="81"/>
      <c r="K6" s="81"/>
    </row>
    <row r="7" spans="1:11" s="80" customFormat="1" hidden="1">
      <c r="A7" s="81" t="s">
        <v>3</v>
      </c>
      <c r="B7" s="81"/>
      <c r="C7" s="81"/>
      <c r="D7" s="81"/>
      <c r="E7" s="81"/>
      <c r="F7" s="81"/>
      <c r="G7" s="81"/>
      <c r="H7" s="81"/>
      <c r="I7" s="81"/>
      <c r="J7" s="81"/>
      <c r="K7" s="81"/>
    </row>
    <row r="8" spans="1:11" s="80" customFormat="1">
      <c r="A8" s="81"/>
      <c r="B8" s="81"/>
      <c r="C8" s="81"/>
      <c r="D8" s="81"/>
      <c r="E8" s="81"/>
      <c r="F8" s="81"/>
      <c r="G8" s="81"/>
      <c r="H8" s="81"/>
      <c r="I8" s="81"/>
      <c r="J8" s="81"/>
      <c r="K8" s="82" t="s">
        <v>426</v>
      </c>
    </row>
    <row r="9" spans="1:11" s="80" customFormat="1">
      <c r="A9" s="81"/>
      <c r="B9" s="81"/>
      <c r="C9" s="81" t="s">
        <v>7</v>
      </c>
      <c r="D9" s="81"/>
      <c r="E9" s="81"/>
      <c r="F9" s="81"/>
      <c r="G9" s="81"/>
      <c r="H9" s="81"/>
      <c r="I9" s="81"/>
      <c r="J9" s="81"/>
    </row>
    <row r="10" spans="1:11" s="86" customFormat="1">
      <c r="A10" s="83"/>
      <c r="B10" s="84"/>
      <c r="C10" s="85"/>
      <c r="D10" s="84"/>
      <c r="E10" s="84"/>
      <c r="F10" s="84"/>
      <c r="G10" s="84"/>
      <c r="H10" s="84"/>
      <c r="I10" s="84"/>
      <c r="J10" s="84"/>
      <c r="K10" s="84"/>
    </row>
    <row r="11" spans="1:11" s="88" customFormat="1" ht="45" customHeight="1">
      <c r="A11" s="171" t="s">
        <v>4</v>
      </c>
      <c r="B11" s="171" t="s">
        <v>34</v>
      </c>
      <c r="C11" s="171" t="s">
        <v>8</v>
      </c>
      <c r="D11" s="172" t="s">
        <v>9</v>
      </c>
      <c r="E11" s="171" t="s">
        <v>10</v>
      </c>
      <c r="F11" s="171" t="s">
        <v>10</v>
      </c>
      <c r="G11" s="87"/>
      <c r="H11" s="87"/>
      <c r="I11" s="171" t="s">
        <v>5</v>
      </c>
      <c r="J11" s="171" t="s">
        <v>6</v>
      </c>
      <c r="K11" s="171"/>
    </row>
    <row r="12" spans="1:11" s="88" customFormat="1" ht="39" customHeight="1">
      <c r="A12" s="171"/>
      <c r="B12" s="171"/>
      <c r="C12" s="171"/>
      <c r="D12" s="172"/>
      <c r="E12" s="171"/>
      <c r="F12" s="171"/>
      <c r="G12" s="87"/>
      <c r="H12" s="87"/>
      <c r="I12" s="171"/>
      <c r="J12" s="87" t="s">
        <v>11</v>
      </c>
      <c r="K12" s="87" t="s">
        <v>12</v>
      </c>
    </row>
    <row r="13" spans="1:11" s="88" customFormat="1">
      <c r="A13" s="87">
        <v>1</v>
      </c>
      <c r="B13" s="87" t="s">
        <v>35</v>
      </c>
      <c r="C13" s="87">
        <v>3</v>
      </c>
      <c r="D13" s="87">
        <v>4</v>
      </c>
      <c r="E13" s="87">
        <v>5</v>
      </c>
      <c r="F13" s="87">
        <v>5</v>
      </c>
      <c r="G13" s="87"/>
      <c r="H13" s="87"/>
      <c r="I13" s="87">
        <v>6</v>
      </c>
      <c r="J13" s="87">
        <v>7</v>
      </c>
      <c r="K13" s="87">
        <v>8</v>
      </c>
    </row>
    <row r="14" spans="1:11" s="88" customFormat="1">
      <c r="A14" s="65" t="s">
        <v>139</v>
      </c>
      <c r="B14" s="87"/>
      <c r="C14" s="89" t="s">
        <v>184</v>
      </c>
      <c r="D14" s="90">
        <f>D15+D23+D83+D95+D79</f>
        <v>4498437.99</v>
      </c>
      <c r="E14" s="90">
        <f t="shared" ref="E14:K14" si="0">E15+E23+E83+E95+E79</f>
        <v>1389968.72</v>
      </c>
      <c r="F14" s="90">
        <f t="shared" si="0"/>
        <v>3294</v>
      </c>
      <c r="G14" s="90">
        <f t="shared" si="0"/>
        <v>0</v>
      </c>
      <c r="H14" s="90">
        <f t="shared" si="0"/>
        <v>0</v>
      </c>
      <c r="I14" s="90">
        <f t="shared" si="0"/>
        <v>904228.23999999987</v>
      </c>
      <c r="J14" s="90">
        <f t="shared" si="0"/>
        <v>3594209.7500000005</v>
      </c>
      <c r="K14" s="90">
        <f t="shared" si="0"/>
        <v>485740.47999999992</v>
      </c>
    </row>
    <row r="15" spans="1:11" s="91" customFormat="1" ht="36.75" customHeight="1">
      <c r="A15" s="65" t="s">
        <v>140</v>
      </c>
      <c r="B15" s="89"/>
      <c r="C15" s="89" t="s">
        <v>183</v>
      </c>
      <c r="D15" s="90">
        <f>D16</f>
        <v>620428</v>
      </c>
      <c r="E15" s="90">
        <f t="shared" ref="E15:K15" si="1">E16</f>
        <v>153191</v>
      </c>
      <c r="F15" s="90">
        <f t="shared" si="1"/>
        <v>0</v>
      </c>
      <c r="G15" s="90">
        <f t="shared" si="1"/>
        <v>0</v>
      </c>
      <c r="H15" s="90">
        <f t="shared" si="1"/>
        <v>0</v>
      </c>
      <c r="I15" s="90">
        <f t="shared" si="1"/>
        <v>127520.59</v>
      </c>
      <c r="J15" s="90">
        <f t="shared" si="1"/>
        <v>492907.41</v>
      </c>
      <c r="K15" s="90">
        <f t="shared" si="1"/>
        <v>25670.409999999996</v>
      </c>
    </row>
    <row r="16" spans="1:11" s="88" customFormat="1" ht="22.5" customHeight="1">
      <c r="A16" s="69" t="s">
        <v>156</v>
      </c>
      <c r="B16" s="87"/>
      <c r="C16" s="92" t="s">
        <v>273</v>
      </c>
      <c r="D16" s="93">
        <f t="shared" ref="D16:K16" si="2">D17+D20</f>
        <v>620428</v>
      </c>
      <c r="E16" s="93">
        <f t="shared" si="2"/>
        <v>153191</v>
      </c>
      <c r="F16" s="93">
        <f t="shared" si="2"/>
        <v>0</v>
      </c>
      <c r="G16" s="93">
        <f t="shared" si="2"/>
        <v>0</v>
      </c>
      <c r="H16" s="93">
        <f t="shared" si="2"/>
        <v>0</v>
      </c>
      <c r="I16" s="93">
        <f t="shared" si="2"/>
        <v>127520.59</v>
      </c>
      <c r="J16" s="93">
        <f t="shared" si="2"/>
        <v>492907.41</v>
      </c>
      <c r="K16" s="93">
        <f t="shared" si="2"/>
        <v>25670.409999999996</v>
      </c>
    </row>
    <row r="17" spans="1:11" ht="18.75" customHeight="1">
      <c r="A17" s="94" t="s">
        <v>24</v>
      </c>
      <c r="B17" s="41"/>
      <c r="C17" s="95" t="s">
        <v>187</v>
      </c>
      <c r="D17" s="96">
        <v>476519</v>
      </c>
      <c r="E17" s="96">
        <v>117658</v>
      </c>
      <c r="F17" s="36"/>
      <c r="G17" s="36"/>
      <c r="H17" s="36"/>
      <c r="I17" s="36">
        <v>105165.69</v>
      </c>
      <c r="J17" s="36">
        <f>D17-I17</f>
        <v>371353.31</v>
      </c>
      <c r="K17" s="36">
        <f>E17-I17</f>
        <v>12492.309999999998</v>
      </c>
    </row>
    <row r="18" spans="1:11">
      <c r="A18" s="98" t="s">
        <v>110</v>
      </c>
      <c r="B18" s="41"/>
      <c r="C18" s="95" t="s">
        <v>188</v>
      </c>
      <c r="D18" s="36">
        <v>104834</v>
      </c>
      <c r="E18" s="36">
        <v>25885</v>
      </c>
      <c r="F18" s="36"/>
      <c r="G18" s="36"/>
      <c r="H18" s="36"/>
      <c r="I18" s="36">
        <f>8445+7839.79</f>
        <v>16284.79</v>
      </c>
      <c r="J18" s="36">
        <f>D18-I18</f>
        <v>88549.209999999992</v>
      </c>
      <c r="K18" s="36">
        <f>E18-I18</f>
        <v>9600.2099999999991</v>
      </c>
    </row>
    <row r="19" spans="1:11" ht="14.25" customHeight="1">
      <c r="A19" s="98" t="s">
        <v>111</v>
      </c>
      <c r="B19" s="41"/>
      <c r="C19" s="95" t="s">
        <v>189</v>
      </c>
      <c r="D19" s="36">
        <v>39075</v>
      </c>
      <c r="E19" s="36">
        <v>9648</v>
      </c>
      <c r="F19" s="36"/>
      <c r="G19" s="36"/>
      <c r="H19" s="36"/>
      <c r="I19" s="36">
        <f>1113+1958+77+1817.41+71.27+1033.43</f>
        <v>6070.1100000000006</v>
      </c>
      <c r="J19" s="36">
        <f>D19-I19</f>
        <v>33004.89</v>
      </c>
      <c r="K19" s="36">
        <f>E19-I19</f>
        <v>3577.8899999999994</v>
      </c>
    </row>
    <row r="20" spans="1:11" s="102" customFormat="1" ht="13.5">
      <c r="A20" s="69" t="s">
        <v>157</v>
      </c>
      <c r="B20" s="99"/>
      <c r="C20" s="42"/>
      <c r="D20" s="100">
        <f t="shared" ref="D20:K20" si="3">SUM(D18:D19)</f>
        <v>143909</v>
      </c>
      <c r="E20" s="101">
        <f t="shared" si="3"/>
        <v>35533</v>
      </c>
      <c r="F20" s="101">
        <f t="shared" si="3"/>
        <v>0</v>
      </c>
      <c r="G20" s="101">
        <f t="shared" si="3"/>
        <v>0</v>
      </c>
      <c r="H20" s="101">
        <f t="shared" si="3"/>
        <v>0</v>
      </c>
      <c r="I20" s="101">
        <f t="shared" si="3"/>
        <v>22354.9</v>
      </c>
      <c r="J20" s="101">
        <f t="shared" si="3"/>
        <v>121554.09999999999</v>
      </c>
      <c r="K20" s="101">
        <f t="shared" si="3"/>
        <v>13178.099999999999</v>
      </c>
    </row>
    <row r="21" spans="1:11" s="102" customFormat="1" ht="13.5">
      <c r="A21" s="103"/>
      <c r="B21" s="99"/>
      <c r="C21" s="42"/>
      <c r="D21" s="100"/>
      <c r="E21" s="101"/>
      <c r="F21" s="101"/>
      <c r="G21" s="101"/>
      <c r="H21" s="101"/>
      <c r="I21" s="101"/>
      <c r="J21" s="101"/>
      <c r="K21" s="101"/>
    </row>
    <row r="22" spans="1:11" s="102" customFormat="1" ht="51.75">
      <c r="A22" s="65" t="s">
        <v>141</v>
      </c>
      <c r="B22" s="99"/>
      <c r="C22" s="42" t="s">
        <v>182</v>
      </c>
      <c r="D22" s="101">
        <f>D23+D79+D75</f>
        <v>3870803.9899999998</v>
      </c>
      <c r="E22" s="101">
        <f t="shared" ref="E22:K22" si="4">E23+E79+E75</f>
        <v>1236226.72</v>
      </c>
      <c r="F22" s="101">
        <f t="shared" si="4"/>
        <v>3294</v>
      </c>
      <c r="G22" s="101">
        <f t="shared" si="4"/>
        <v>0</v>
      </c>
      <c r="H22" s="101">
        <f t="shared" si="4"/>
        <v>0</v>
      </c>
      <c r="I22" s="101">
        <f t="shared" si="4"/>
        <v>776707.64999999991</v>
      </c>
      <c r="J22" s="101">
        <f t="shared" si="4"/>
        <v>3094096.3400000003</v>
      </c>
      <c r="K22" s="101">
        <f t="shared" si="4"/>
        <v>459519.06999999995</v>
      </c>
    </row>
    <row r="23" spans="1:11" s="79" customFormat="1" ht="27">
      <c r="A23" s="103" t="s">
        <v>272</v>
      </c>
      <c r="B23" s="78"/>
      <c r="C23" s="44" t="s">
        <v>271</v>
      </c>
      <c r="D23" s="45">
        <f>D44+D55+D56+D58+D67+D72+D69+D73</f>
        <v>3870303.9899999998</v>
      </c>
      <c r="E23" s="45">
        <f t="shared" ref="E23:K23" si="5">E44+E55+E56+E58+E67+E72+E69+E73</f>
        <v>1236226.72</v>
      </c>
      <c r="F23" s="45">
        <f t="shared" si="5"/>
        <v>3294</v>
      </c>
      <c r="G23" s="45">
        <f t="shared" si="5"/>
        <v>0</v>
      </c>
      <c r="H23" s="45">
        <f t="shared" si="5"/>
        <v>0</v>
      </c>
      <c r="I23" s="45">
        <f t="shared" si="5"/>
        <v>776707.64999999991</v>
      </c>
      <c r="J23" s="45">
        <f t="shared" si="5"/>
        <v>3093596.3400000003</v>
      </c>
      <c r="K23" s="45">
        <f t="shared" si="5"/>
        <v>459519.06999999995</v>
      </c>
    </row>
    <row r="24" spans="1:11" hidden="1">
      <c r="A24" s="94" t="s">
        <v>24</v>
      </c>
      <c r="B24" s="41"/>
      <c r="C24" s="95" t="s">
        <v>123</v>
      </c>
      <c r="D24" s="36"/>
      <c r="E24" s="36"/>
      <c r="F24" s="36"/>
      <c r="G24" s="36"/>
      <c r="H24" s="36"/>
      <c r="I24" s="36"/>
      <c r="J24" s="36">
        <f>D24-I24</f>
        <v>0</v>
      </c>
      <c r="K24" s="36">
        <f>E24-I24</f>
        <v>0</v>
      </c>
    </row>
    <row r="25" spans="1:11" hidden="1">
      <c r="A25" s="98" t="s">
        <v>110</v>
      </c>
      <c r="B25" s="41"/>
      <c r="C25" s="95" t="s">
        <v>124</v>
      </c>
      <c r="D25" s="36"/>
      <c r="E25" s="36"/>
      <c r="F25" s="36"/>
      <c r="G25" s="36"/>
      <c r="H25" s="36"/>
      <c r="I25" s="36"/>
      <c r="J25" s="36">
        <f>D25-I25</f>
        <v>0</v>
      </c>
      <c r="K25" s="36">
        <f>E25-I25</f>
        <v>0</v>
      </c>
    </row>
    <row r="26" spans="1:11" ht="14.25" hidden="1" customHeight="1">
      <c r="A26" s="98" t="s">
        <v>111</v>
      </c>
      <c r="B26" s="41"/>
      <c r="C26" s="95" t="s">
        <v>125</v>
      </c>
      <c r="D26" s="36"/>
      <c r="E26" s="36"/>
      <c r="F26" s="36"/>
      <c r="G26" s="36"/>
      <c r="H26" s="36"/>
      <c r="I26" s="36"/>
      <c r="J26" s="36">
        <f>D26-I26</f>
        <v>0</v>
      </c>
      <c r="K26" s="36">
        <f>E26-I26</f>
        <v>0</v>
      </c>
    </row>
    <row r="27" spans="1:11" s="102" customFormat="1" ht="13.5" hidden="1">
      <c r="A27" s="103" t="s">
        <v>88</v>
      </c>
      <c r="B27" s="99"/>
      <c r="C27" s="42"/>
      <c r="D27" s="101">
        <f t="shared" ref="D27:K27" si="6">SUM(D25:D26)</f>
        <v>0</v>
      </c>
      <c r="E27" s="101">
        <f t="shared" si="6"/>
        <v>0</v>
      </c>
      <c r="F27" s="101">
        <f t="shared" si="6"/>
        <v>0</v>
      </c>
      <c r="G27" s="101">
        <f t="shared" si="6"/>
        <v>0</v>
      </c>
      <c r="H27" s="101">
        <f t="shared" si="6"/>
        <v>0</v>
      </c>
      <c r="I27" s="101">
        <f t="shared" si="6"/>
        <v>0</v>
      </c>
      <c r="J27" s="101">
        <f t="shared" si="6"/>
        <v>0</v>
      </c>
      <c r="K27" s="101">
        <f t="shared" si="6"/>
        <v>0</v>
      </c>
    </row>
    <row r="28" spans="1:11" s="79" customFormat="1" hidden="1">
      <c r="A28" s="104" t="s">
        <v>126</v>
      </c>
      <c r="B28" s="78"/>
      <c r="C28" s="95"/>
      <c r="D28" s="45">
        <f>D24+D27</f>
        <v>0</v>
      </c>
      <c r="E28" s="45">
        <f t="shared" ref="E28:K28" si="7">E24+E27</f>
        <v>0</v>
      </c>
      <c r="F28" s="45">
        <f t="shared" si="7"/>
        <v>0</v>
      </c>
      <c r="G28" s="45">
        <f t="shared" si="7"/>
        <v>0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</row>
    <row r="29" spans="1:11" s="79" customFormat="1" hidden="1">
      <c r="A29" s="104"/>
      <c r="B29" s="78"/>
      <c r="C29" s="95"/>
      <c r="D29" s="45"/>
      <c r="E29" s="45"/>
      <c r="F29" s="45"/>
      <c r="G29" s="45"/>
      <c r="H29" s="45"/>
      <c r="I29" s="45"/>
      <c r="J29" s="45"/>
      <c r="K29" s="45"/>
    </row>
    <row r="30" spans="1:11" s="79" customFormat="1" hidden="1">
      <c r="A30" s="104" t="s">
        <v>117</v>
      </c>
      <c r="B30" s="78"/>
      <c r="C30" s="95"/>
      <c r="D30" s="45"/>
      <c r="E30" s="45"/>
      <c r="F30" s="45"/>
      <c r="G30" s="45"/>
      <c r="H30" s="45"/>
      <c r="I30" s="45"/>
      <c r="J30" s="45"/>
      <c r="K30" s="45"/>
    </row>
    <row r="31" spans="1:11" hidden="1">
      <c r="A31" s="94" t="s">
        <v>24</v>
      </c>
      <c r="B31" s="41"/>
      <c r="C31" s="95" t="s">
        <v>96</v>
      </c>
      <c r="D31" s="36"/>
      <c r="E31" s="36"/>
      <c r="F31" s="36"/>
      <c r="G31" s="36"/>
      <c r="H31" s="36"/>
      <c r="I31" s="36"/>
      <c r="J31" s="36">
        <f>D31-I31</f>
        <v>0</v>
      </c>
      <c r="K31" s="36">
        <f>E31-I31</f>
        <v>0</v>
      </c>
    </row>
    <row r="32" spans="1:11" hidden="1">
      <c r="A32" s="98" t="s">
        <v>110</v>
      </c>
      <c r="B32" s="41"/>
      <c r="C32" s="95" t="s">
        <v>97</v>
      </c>
      <c r="D32" s="36"/>
      <c r="E32" s="36"/>
      <c r="F32" s="36"/>
      <c r="G32" s="36"/>
      <c r="H32" s="36"/>
      <c r="I32" s="36"/>
      <c r="J32" s="36">
        <f>D32-I32</f>
        <v>0</v>
      </c>
      <c r="K32" s="36">
        <f>E32-I32</f>
        <v>0</v>
      </c>
    </row>
    <row r="33" spans="1:11" ht="14.25" hidden="1" customHeight="1">
      <c r="A33" s="105" t="s">
        <v>111</v>
      </c>
      <c r="B33" s="41"/>
      <c r="C33" s="95" t="s">
        <v>98</v>
      </c>
      <c r="D33" s="36"/>
      <c r="E33" s="36"/>
      <c r="F33" s="36"/>
      <c r="G33" s="36"/>
      <c r="H33" s="36"/>
      <c r="I33" s="36"/>
      <c r="J33" s="36">
        <f>D33-I33</f>
        <v>0</v>
      </c>
      <c r="K33" s="36">
        <f>E33-I33</f>
        <v>0</v>
      </c>
    </row>
    <row r="34" spans="1:11" s="102" customFormat="1" ht="13.5" hidden="1">
      <c r="A34" s="103" t="s">
        <v>88</v>
      </c>
      <c r="B34" s="99"/>
      <c r="C34" s="42"/>
      <c r="D34" s="101">
        <f t="shared" ref="D34:K34" si="8">SUM(D32:D33)</f>
        <v>0</v>
      </c>
      <c r="E34" s="101">
        <f t="shared" si="8"/>
        <v>0</v>
      </c>
      <c r="F34" s="101">
        <f t="shared" si="8"/>
        <v>0</v>
      </c>
      <c r="G34" s="101">
        <f t="shared" si="8"/>
        <v>0</v>
      </c>
      <c r="H34" s="101">
        <f t="shared" si="8"/>
        <v>0</v>
      </c>
      <c r="I34" s="101">
        <f t="shared" si="8"/>
        <v>0</v>
      </c>
      <c r="J34" s="101">
        <f t="shared" si="8"/>
        <v>0</v>
      </c>
      <c r="K34" s="101">
        <f t="shared" si="8"/>
        <v>0</v>
      </c>
    </row>
    <row r="35" spans="1:11" s="79" customFormat="1" hidden="1">
      <c r="A35" s="104" t="s">
        <v>103</v>
      </c>
      <c r="B35" s="78"/>
      <c r="C35" s="106"/>
      <c r="D35" s="45">
        <f t="shared" ref="D35:K35" si="9">D31+D34</f>
        <v>0</v>
      </c>
      <c r="E35" s="45">
        <f t="shared" si="9"/>
        <v>0</v>
      </c>
      <c r="F35" s="45">
        <f t="shared" si="9"/>
        <v>0</v>
      </c>
      <c r="G35" s="45">
        <f t="shared" si="9"/>
        <v>0</v>
      </c>
      <c r="H35" s="45">
        <f t="shared" si="9"/>
        <v>0</v>
      </c>
      <c r="I35" s="45">
        <f t="shared" si="9"/>
        <v>0</v>
      </c>
      <c r="J35" s="45">
        <f t="shared" si="9"/>
        <v>0</v>
      </c>
      <c r="K35" s="45">
        <f t="shared" si="9"/>
        <v>0</v>
      </c>
    </row>
    <row r="36" spans="1:11" s="79" customFormat="1" hidden="1">
      <c r="A36" s="104"/>
      <c r="B36" s="78"/>
      <c r="C36" s="106"/>
      <c r="D36" s="45"/>
      <c r="E36" s="45"/>
      <c r="F36" s="45"/>
      <c r="G36" s="45"/>
      <c r="H36" s="45"/>
      <c r="I36" s="45"/>
      <c r="J36" s="45"/>
      <c r="K36" s="45"/>
    </row>
    <row r="37" spans="1:11" s="79" customFormat="1" hidden="1">
      <c r="A37" s="107" t="s">
        <v>108</v>
      </c>
      <c r="B37" s="78"/>
      <c r="C37" s="106"/>
      <c r="D37" s="45"/>
      <c r="E37" s="45"/>
      <c r="F37" s="45"/>
      <c r="G37" s="45"/>
      <c r="H37" s="45"/>
      <c r="I37" s="45"/>
      <c r="J37" s="45"/>
      <c r="K37" s="45"/>
    </row>
    <row r="38" spans="1:11" hidden="1">
      <c r="A38" s="94" t="s">
        <v>24</v>
      </c>
      <c r="B38" s="41"/>
      <c r="C38" s="95" t="s">
        <v>99</v>
      </c>
      <c r="D38" s="36">
        <f t="shared" ref="D38:I38" si="10">D17+D24+D31</f>
        <v>476519</v>
      </c>
      <c r="E38" s="36">
        <f t="shared" si="10"/>
        <v>117658</v>
      </c>
      <c r="F38" s="36">
        <f t="shared" si="10"/>
        <v>0</v>
      </c>
      <c r="G38" s="36">
        <f t="shared" si="10"/>
        <v>0</v>
      </c>
      <c r="H38" s="36">
        <f t="shared" si="10"/>
        <v>0</v>
      </c>
      <c r="I38" s="36">
        <f t="shared" si="10"/>
        <v>105165.69</v>
      </c>
      <c r="J38" s="36">
        <f>D38-I38</f>
        <v>371353.31</v>
      </c>
      <c r="K38" s="36">
        <f>E38-I38</f>
        <v>12492.309999999998</v>
      </c>
    </row>
    <row r="39" spans="1:11" ht="38.25" hidden="1">
      <c r="A39" s="94" t="s">
        <v>26</v>
      </c>
      <c r="B39" s="41"/>
      <c r="C39" s="95" t="s">
        <v>100</v>
      </c>
      <c r="D39" s="36" t="e">
        <f>#REF!</f>
        <v>#REF!</v>
      </c>
      <c r="E39" s="36" t="e">
        <f>#REF!</f>
        <v>#REF!</v>
      </c>
      <c r="F39" s="36" t="e">
        <f>#REF!</f>
        <v>#REF!</v>
      </c>
      <c r="G39" s="36" t="e">
        <f>#REF!</f>
        <v>#REF!</v>
      </c>
      <c r="H39" s="36" t="e">
        <f>#REF!</f>
        <v>#REF!</v>
      </c>
      <c r="I39" s="36" t="e">
        <f>#REF!</f>
        <v>#REF!</v>
      </c>
      <c r="J39" s="36" t="e">
        <f>D39-I39</f>
        <v>#REF!</v>
      </c>
      <c r="K39" s="36" t="e">
        <f>E39-I39</f>
        <v>#REF!</v>
      </c>
    </row>
    <row r="40" spans="1:11" hidden="1">
      <c r="A40" s="98" t="s">
        <v>110</v>
      </c>
      <c r="B40" s="41"/>
      <c r="C40" s="95" t="s">
        <v>101</v>
      </c>
      <c r="D40" s="36">
        <f t="shared" ref="D40:I41" si="11">D18+D25+D32</f>
        <v>104834</v>
      </c>
      <c r="E40" s="36">
        <f t="shared" si="11"/>
        <v>25885</v>
      </c>
      <c r="F40" s="36">
        <f t="shared" si="11"/>
        <v>0</v>
      </c>
      <c r="G40" s="36">
        <f t="shared" si="11"/>
        <v>0</v>
      </c>
      <c r="H40" s="36">
        <f t="shared" si="11"/>
        <v>0</v>
      </c>
      <c r="I40" s="36">
        <f t="shared" si="11"/>
        <v>16284.79</v>
      </c>
      <c r="J40" s="36">
        <f>D40-I40</f>
        <v>88549.209999999992</v>
      </c>
      <c r="K40" s="36">
        <f>E40-I40</f>
        <v>9600.2099999999991</v>
      </c>
    </row>
    <row r="41" spans="1:11" ht="14.25" hidden="1" customHeight="1">
      <c r="A41" s="98" t="s">
        <v>111</v>
      </c>
      <c r="B41" s="41"/>
      <c r="C41" s="95" t="s">
        <v>102</v>
      </c>
      <c r="D41" s="36">
        <f t="shared" si="11"/>
        <v>39075</v>
      </c>
      <c r="E41" s="36">
        <f t="shared" si="11"/>
        <v>9648</v>
      </c>
      <c r="F41" s="36">
        <f t="shared" si="11"/>
        <v>0</v>
      </c>
      <c r="G41" s="36">
        <f t="shared" si="11"/>
        <v>0</v>
      </c>
      <c r="H41" s="36">
        <f t="shared" si="11"/>
        <v>0</v>
      </c>
      <c r="I41" s="36">
        <f t="shared" si="11"/>
        <v>6070.1100000000006</v>
      </c>
      <c r="J41" s="36">
        <f>D41-I41</f>
        <v>33004.89</v>
      </c>
      <c r="K41" s="36">
        <f>E41-I41</f>
        <v>3577.8899999999994</v>
      </c>
    </row>
    <row r="42" spans="1:11" s="102" customFormat="1" ht="13.5" hidden="1">
      <c r="A42" s="103" t="s">
        <v>88</v>
      </c>
      <c r="B42" s="99"/>
      <c r="C42" s="42"/>
      <c r="D42" s="101">
        <f>SUM(D40:D41)</f>
        <v>143909</v>
      </c>
      <c r="E42" s="101">
        <f t="shared" ref="E42:K42" si="12">SUM(E40:E41)</f>
        <v>35533</v>
      </c>
      <c r="F42" s="101">
        <f t="shared" si="12"/>
        <v>0</v>
      </c>
      <c r="G42" s="101">
        <f t="shared" si="12"/>
        <v>0</v>
      </c>
      <c r="H42" s="101">
        <f t="shared" si="12"/>
        <v>0</v>
      </c>
      <c r="I42" s="101">
        <f t="shared" si="12"/>
        <v>22354.9</v>
      </c>
      <c r="J42" s="101">
        <f t="shared" si="12"/>
        <v>121554.09999999999</v>
      </c>
      <c r="K42" s="101">
        <f t="shared" si="12"/>
        <v>13178.099999999999</v>
      </c>
    </row>
    <row r="43" spans="1:11" s="79" customFormat="1" hidden="1">
      <c r="A43" s="107" t="s">
        <v>107</v>
      </c>
      <c r="B43" s="78"/>
      <c r="C43" s="106"/>
      <c r="D43" s="45" t="e">
        <f>D38+D42+D39</f>
        <v>#REF!</v>
      </c>
      <c r="E43" s="45" t="e">
        <f t="shared" ref="E43:K43" si="13">E38+E42+E39</f>
        <v>#REF!</v>
      </c>
      <c r="F43" s="45" t="e">
        <f t="shared" si="13"/>
        <v>#REF!</v>
      </c>
      <c r="G43" s="45" t="e">
        <f t="shared" si="13"/>
        <v>#REF!</v>
      </c>
      <c r="H43" s="45" t="e">
        <f t="shared" si="13"/>
        <v>#REF!</v>
      </c>
      <c r="I43" s="45" t="e">
        <f t="shared" si="13"/>
        <v>#REF!</v>
      </c>
      <c r="J43" s="45" t="e">
        <f t="shared" si="13"/>
        <v>#REF!</v>
      </c>
      <c r="K43" s="45" t="e">
        <f t="shared" si="13"/>
        <v>#REF!</v>
      </c>
    </row>
    <row r="44" spans="1:11" s="79" customFormat="1" ht="25.5">
      <c r="A44" s="69" t="s">
        <v>156</v>
      </c>
      <c r="B44" s="78"/>
      <c r="C44" s="106"/>
      <c r="D44" s="45">
        <f>D47+D50+D53</f>
        <v>1975043</v>
      </c>
      <c r="E44" s="45">
        <f t="shared" ref="E44:K44" si="14">E47+E50+E53</f>
        <v>466873.76</v>
      </c>
      <c r="F44" s="45">
        <f t="shared" si="14"/>
        <v>0</v>
      </c>
      <c r="G44" s="45">
        <f t="shared" si="14"/>
        <v>0</v>
      </c>
      <c r="H44" s="45">
        <f t="shared" si="14"/>
        <v>0</v>
      </c>
      <c r="I44" s="45">
        <f t="shared" si="14"/>
        <v>376572.14999999997</v>
      </c>
      <c r="J44" s="45">
        <f t="shared" si="14"/>
        <v>1598470.85</v>
      </c>
      <c r="K44" s="45">
        <f t="shared" si="14"/>
        <v>90301.610000000015</v>
      </c>
    </row>
    <row r="45" spans="1:11">
      <c r="A45" s="94" t="s">
        <v>14</v>
      </c>
      <c r="B45" s="41"/>
      <c r="C45" s="95" t="s">
        <v>190</v>
      </c>
      <c r="D45" s="36">
        <v>760435</v>
      </c>
      <c r="E45" s="36">
        <f>174609+21241.76</f>
        <v>195850.76</v>
      </c>
      <c r="F45" s="36"/>
      <c r="G45" s="36"/>
      <c r="H45" s="36"/>
      <c r="I45" s="36">
        <v>186102.9</v>
      </c>
      <c r="J45" s="36">
        <f>D45-I45</f>
        <v>574332.1</v>
      </c>
      <c r="K45" s="36">
        <f>E45-I45</f>
        <v>9747.8600000000151</v>
      </c>
    </row>
    <row r="46" spans="1:11">
      <c r="A46" s="94" t="s">
        <v>25</v>
      </c>
      <c r="B46" s="41"/>
      <c r="C46" s="95" t="s">
        <v>191</v>
      </c>
      <c r="D46" s="36">
        <f>810531-101591</f>
        <v>708940</v>
      </c>
      <c r="E46" s="36">
        <f>205414-40636</f>
        <v>164778</v>
      </c>
      <c r="F46" s="36"/>
      <c r="G46" s="36"/>
      <c r="H46" s="36"/>
      <c r="I46" s="36">
        <v>128606.02</v>
      </c>
      <c r="J46" s="36">
        <f>D46-I46</f>
        <v>580333.98</v>
      </c>
      <c r="K46" s="36">
        <f>E46-I46</f>
        <v>36171.979999999996</v>
      </c>
    </row>
    <row r="47" spans="1:11" s="102" customFormat="1" ht="13.5">
      <c r="A47" s="103" t="s">
        <v>89</v>
      </c>
      <c r="B47" s="99"/>
      <c r="C47" s="42"/>
      <c r="D47" s="101">
        <f t="shared" ref="D47:K47" si="15">SUM(D45:D46)</f>
        <v>1469375</v>
      </c>
      <c r="E47" s="101">
        <f t="shared" si="15"/>
        <v>360628.76</v>
      </c>
      <c r="F47" s="101">
        <f t="shared" si="15"/>
        <v>0</v>
      </c>
      <c r="G47" s="101">
        <f t="shared" si="15"/>
        <v>0</v>
      </c>
      <c r="H47" s="101">
        <f t="shared" si="15"/>
        <v>0</v>
      </c>
      <c r="I47" s="101">
        <f t="shared" si="15"/>
        <v>314708.92</v>
      </c>
      <c r="J47" s="101">
        <f t="shared" si="15"/>
        <v>1154666.08</v>
      </c>
      <c r="K47" s="101">
        <f t="shared" si="15"/>
        <v>45919.840000000011</v>
      </c>
    </row>
    <row r="48" spans="1:11" ht="23.25" customHeight="1">
      <c r="A48" s="94" t="s">
        <v>26</v>
      </c>
      <c r="B48" s="41"/>
      <c r="C48" s="95" t="s">
        <v>192</v>
      </c>
      <c r="D48" s="36">
        <v>43166</v>
      </c>
      <c r="E48" s="36">
        <v>0</v>
      </c>
      <c r="F48" s="36"/>
      <c r="G48" s="36"/>
      <c r="H48" s="36"/>
      <c r="I48" s="36">
        <v>0</v>
      </c>
      <c r="J48" s="36">
        <f>D48-I48</f>
        <v>43166</v>
      </c>
      <c r="K48" s="36">
        <f>E48-I48</f>
        <v>0</v>
      </c>
    </row>
    <row r="49" spans="1:11" ht="38.25">
      <c r="A49" s="94" t="s">
        <v>27</v>
      </c>
      <c r="B49" s="41"/>
      <c r="C49" s="95" t="s">
        <v>193</v>
      </c>
      <c r="D49" s="36">
        <v>18750</v>
      </c>
      <c r="E49" s="36">
        <v>3750</v>
      </c>
      <c r="F49" s="36"/>
      <c r="G49" s="36"/>
      <c r="H49" s="36"/>
      <c r="I49" s="36">
        <v>0</v>
      </c>
      <c r="J49" s="36">
        <f>D49-I49</f>
        <v>18750</v>
      </c>
      <c r="K49" s="36">
        <f>E49-I49</f>
        <v>3750</v>
      </c>
    </row>
    <row r="50" spans="1:11" s="102" customFormat="1" ht="13.5">
      <c r="A50" s="103" t="s">
        <v>158</v>
      </c>
      <c r="B50" s="99"/>
      <c r="C50" s="42"/>
      <c r="D50" s="101">
        <f t="shared" ref="D50:K50" si="16">SUM(D48:D49)</f>
        <v>61916</v>
      </c>
      <c r="E50" s="101">
        <f t="shared" si="16"/>
        <v>3750</v>
      </c>
      <c r="F50" s="101">
        <f t="shared" si="16"/>
        <v>0</v>
      </c>
      <c r="G50" s="101">
        <f t="shared" si="16"/>
        <v>0</v>
      </c>
      <c r="H50" s="101">
        <f t="shared" si="16"/>
        <v>0</v>
      </c>
      <c r="I50" s="101">
        <f t="shared" si="16"/>
        <v>0</v>
      </c>
      <c r="J50" s="101">
        <f t="shared" si="16"/>
        <v>61916</v>
      </c>
      <c r="K50" s="101">
        <f t="shared" si="16"/>
        <v>3750</v>
      </c>
    </row>
    <row r="51" spans="1:11">
      <c r="A51" s="108" t="s">
        <v>110</v>
      </c>
      <c r="B51" s="41"/>
      <c r="C51" s="95" t="s">
        <v>194</v>
      </c>
      <c r="D51" s="36">
        <f>345612-22350</f>
        <v>323262</v>
      </c>
      <c r="E51" s="36">
        <f>83605-8940</f>
        <v>74665</v>
      </c>
      <c r="F51" s="36"/>
      <c r="G51" s="36"/>
      <c r="H51" s="36"/>
      <c r="I51" s="36">
        <f>23437+21636.58</f>
        <v>45073.58</v>
      </c>
      <c r="J51" s="36">
        <f>D51-I51</f>
        <v>278188.42</v>
      </c>
      <c r="K51" s="36">
        <f>E51-I51</f>
        <v>29591.42</v>
      </c>
    </row>
    <row r="52" spans="1:11">
      <c r="A52" s="108" t="s">
        <v>111</v>
      </c>
      <c r="B52" s="41"/>
      <c r="C52" s="95" t="s">
        <v>195</v>
      </c>
      <c r="D52" s="36">
        <f>128820-8330</f>
        <v>120490</v>
      </c>
      <c r="E52" s="36">
        <f>31162-3332</f>
        <v>27830</v>
      </c>
      <c r="F52" s="36"/>
      <c r="G52" s="36"/>
      <c r="H52" s="36"/>
      <c r="I52" s="36">
        <f>5433+3089+207+5015.75+2852.08+192.82</f>
        <v>16789.650000000001</v>
      </c>
      <c r="J52" s="36">
        <f>D52-I52</f>
        <v>103700.35</v>
      </c>
      <c r="K52" s="36">
        <f>E52-I52</f>
        <v>11040.349999999999</v>
      </c>
    </row>
    <row r="53" spans="1:11" s="102" customFormat="1" ht="13.5">
      <c r="A53" s="69" t="s">
        <v>157</v>
      </c>
      <c r="B53" s="99"/>
      <c r="C53" s="42"/>
      <c r="D53" s="101">
        <f t="shared" ref="D53:K53" si="17">SUM(D51:D52)</f>
        <v>443752</v>
      </c>
      <c r="E53" s="101">
        <f t="shared" si="17"/>
        <v>102495</v>
      </c>
      <c r="F53" s="101">
        <f t="shared" si="17"/>
        <v>0</v>
      </c>
      <c r="G53" s="101">
        <f t="shared" si="17"/>
        <v>0</v>
      </c>
      <c r="H53" s="101">
        <f t="shared" si="17"/>
        <v>0</v>
      </c>
      <c r="I53" s="101">
        <f t="shared" si="17"/>
        <v>61863.23</v>
      </c>
      <c r="J53" s="101">
        <f t="shared" si="17"/>
        <v>381888.77</v>
      </c>
      <c r="K53" s="101">
        <f t="shared" si="17"/>
        <v>40631.769999999997</v>
      </c>
    </row>
    <row r="54" spans="1:11" s="102" customFormat="1" ht="13.5">
      <c r="A54" s="69"/>
      <c r="B54" s="99"/>
      <c r="C54" s="42"/>
      <c r="D54" s="101"/>
      <c r="E54" s="101"/>
      <c r="F54" s="101"/>
      <c r="G54" s="101"/>
      <c r="H54" s="101"/>
      <c r="I54" s="101"/>
      <c r="J54" s="101"/>
      <c r="K54" s="101"/>
    </row>
    <row r="55" spans="1:11">
      <c r="A55" s="94" t="s">
        <v>16</v>
      </c>
      <c r="B55" s="41"/>
      <c r="C55" s="95" t="s">
        <v>196</v>
      </c>
      <c r="D55" s="36">
        <v>14388</v>
      </c>
      <c r="E55" s="36">
        <v>3000</v>
      </c>
      <c r="F55" s="36"/>
      <c r="G55" s="36"/>
      <c r="H55" s="36"/>
      <c r="I55" s="36">
        <v>0</v>
      </c>
      <c r="J55" s="36">
        <f>D55-I55</f>
        <v>14388</v>
      </c>
      <c r="K55" s="36">
        <f>E55-I55</f>
        <v>3000</v>
      </c>
    </row>
    <row r="56" spans="1:11">
      <c r="A56" s="94" t="s">
        <v>19</v>
      </c>
      <c r="B56" s="41"/>
      <c r="C56" s="95" t="s">
        <v>254</v>
      </c>
      <c r="D56" s="36">
        <v>15650</v>
      </c>
      <c r="E56" s="36">
        <v>4125</v>
      </c>
      <c r="F56" s="36"/>
      <c r="G56" s="36"/>
      <c r="H56" s="36"/>
      <c r="I56" s="36">
        <v>0</v>
      </c>
      <c r="J56" s="36">
        <f>D56-I56</f>
        <v>15650</v>
      </c>
      <c r="K56" s="36">
        <f>E56-I56</f>
        <v>4125</v>
      </c>
    </row>
    <row r="57" spans="1:11">
      <c r="A57" s="94"/>
      <c r="B57" s="41"/>
      <c r="C57" s="109"/>
      <c r="D57" s="36"/>
      <c r="E57" s="36"/>
      <c r="F57" s="36"/>
      <c r="G57" s="36"/>
      <c r="H57" s="36"/>
      <c r="I57" s="36"/>
      <c r="J57" s="36"/>
      <c r="K57" s="36"/>
    </row>
    <row r="58" spans="1:11">
      <c r="A58" s="69" t="s">
        <v>148</v>
      </c>
      <c r="B58" s="41"/>
      <c r="C58" s="110" t="s">
        <v>165</v>
      </c>
      <c r="D58" s="36">
        <f>D59+D60+D64+D65+D66</f>
        <v>1469226.13</v>
      </c>
      <c r="E58" s="36">
        <f>E59+E60+E64+E65+E66</f>
        <v>684326.1</v>
      </c>
      <c r="F58" s="36">
        <f t="shared" ref="F58:K58" si="18">F59+F60+F64+F65+F66</f>
        <v>3294</v>
      </c>
      <c r="G58" s="36">
        <f t="shared" si="18"/>
        <v>0</v>
      </c>
      <c r="H58" s="36">
        <f t="shared" si="18"/>
        <v>0</v>
      </c>
      <c r="I58" s="36">
        <f t="shared" si="18"/>
        <v>400135.49999999994</v>
      </c>
      <c r="J58" s="36">
        <f t="shared" si="18"/>
        <v>1069090.6300000001</v>
      </c>
      <c r="K58" s="36">
        <f t="shared" si="18"/>
        <v>284190.59999999998</v>
      </c>
    </row>
    <row r="59" spans="1:11">
      <c r="A59" s="94" t="s">
        <v>15</v>
      </c>
      <c r="B59" s="41"/>
      <c r="C59" s="95" t="s">
        <v>255</v>
      </c>
      <c r="D59" s="36">
        <v>31908</v>
      </c>
      <c r="E59" s="36">
        <v>7977</v>
      </c>
      <c r="F59" s="36"/>
      <c r="G59" s="36"/>
      <c r="H59" s="36"/>
      <c r="I59" s="36">
        <v>1752.7</v>
      </c>
      <c r="J59" s="36">
        <f>D59-I59</f>
        <v>30155.3</v>
      </c>
      <c r="K59" s="36">
        <f>E59-I59</f>
        <v>6224.3</v>
      </c>
    </row>
    <row r="60" spans="1:11">
      <c r="A60" s="94" t="s">
        <v>16</v>
      </c>
      <c r="B60" s="41"/>
      <c r="C60" s="95" t="s">
        <v>197</v>
      </c>
      <c r="D60" s="36">
        <v>23378</v>
      </c>
      <c r="E60" s="36">
        <v>0</v>
      </c>
      <c r="F60" s="36"/>
      <c r="G60" s="36"/>
      <c r="H60" s="36"/>
      <c r="I60" s="36">
        <v>0</v>
      </c>
      <c r="J60" s="36">
        <f>D60-I60</f>
        <v>23378</v>
      </c>
      <c r="K60" s="36">
        <f>E60-I60</f>
        <v>0</v>
      </c>
    </row>
    <row r="61" spans="1:11">
      <c r="A61" s="94" t="s">
        <v>32</v>
      </c>
      <c r="B61" s="41"/>
      <c r="C61" s="95" t="s">
        <v>198</v>
      </c>
      <c r="D61" s="36">
        <v>1173868</v>
      </c>
      <c r="E61" s="36">
        <v>564836</v>
      </c>
      <c r="F61" s="36"/>
      <c r="G61" s="36"/>
      <c r="H61" s="36"/>
      <c r="I61" s="36">
        <v>388842.6</v>
      </c>
      <c r="J61" s="36">
        <f>D61-I61</f>
        <v>785025.4</v>
      </c>
      <c r="K61" s="36">
        <f>E61-I61</f>
        <v>175993.40000000002</v>
      </c>
    </row>
    <row r="62" spans="1:11">
      <c r="A62" s="94" t="s">
        <v>28</v>
      </c>
      <c r="B62" s="41"/>
      <c r="C62" s="95" t="s">
        <v>199</v>
      </c>
      <c r="D62" s="36">
        <v>126420</v>
      </c>
      <c r="E62" s="36">
        <v>51691</v>
      </c>
      <c r="F62" s="36"/>
      <c r="G62" s="36"/>
      <c r="H62" s="36"/>
      <c r="I62" s="36">
        <f>3263.05+4225.92</f>
        <v>7488.97</v>
      </c>
      <c r="J62" s="36">
        <f>D62-I62</f>
        <v>118931.03</v>
      </c>
      <c r="K62" s="36">
        <f>E62-I62</f>
        <v>44202.03</v>
      </c>
    </row>
    <row r="63" spans="1:11" ht="12.75" customHeight="1">
      <c r="A63" s="94" t="s">
        <v>29</v>
      </c>
      <c r="B63" s="41"/>
      <c r="C63" s="95" t="s">
        <v>200</v>
      </c>
      <c r="D63" s="36">
        <v>10978</v>
      </c>
      <c r="E63" s="36">
        <v>2746</v>
      </c>
      <c r="F63" s="36">
        <v>3294</v>
      </c>
      <c r="G63" s="36"/>
      <c r="H63" s="36"/>
      <c r="I63" s="36">
        <v>851.23</v>
      </c>
      <c r="J63" s="36">
        <f>D63-I63</f>
        <v>10126.77</v>
      </c>
      <c r="K63" s="36">
        <f>E63-I63</f>
        <v>1894.77</v>
      </c>
    </row>
    <row r="64" spans="1:11" s="102" customFormat="1" ht="17.25" customHeight="1">
      <c r="A64" s="69" t="s">
        <v>17</v>
      </c>
      <c r="B64" s="99"/>
      <c r="C64" s="42"/>
      <c r="D64" s="101">
        <f>SUM(D61:D63)</f>
        <v>1311266</v>
      </c>
      <c r="E64" s="101">
        <f t="shared" ref="E64:K64" si="19">SUM(E61:E63)</f>
        <v>619273</v>
      </c>
      <c r="F64" s="101">
        <f t="shared" si="19"/>
        <v>3294</v>
      </c>
      <c r="G64" s="101">
        <f t="shared" si="19"/>
        <v>0</v>
      </c>
      <c r="H64" s="101">
        <f t="shared" si="19"/>
        <v>0</v>
      </c>
      <c r="I64" s="101">
        <f t="shared" si="19"/>
        <v>397182.79999999993</v>
      </c>
      <c r="J64" s="101">
        <f t="shared" si="19"/>
        <v>914083.20000000007</v>
      </c>
      <c r="K64" s="101">
        <f t="shared" si="19"/>
        <v>222090.2</v>
      </c>
    </row>
    <row r="65" spans="1:11">
      <c r="A65" s="94" t="s">
        <v>18</v>
      </c>
      <c r="B65" s="41"/>
      <c r="C65" s="95" t="s">
        <v>201</v>
      </c>
      <c r="D65" s="36">
        <v>53353</v>
      </c>
      <c r="E65" s="36">
        <f>10000+17389.84</f>
        <v>27389.84</v>
      </c>
      <c r="F65" s="36"/>
      <c r="G65" s="36"/>
      <c r="H65" s="36"/>
      <c r="I65" s="36">
        <v>0</v>
      </c>
      <c r="J65" s="36">
        <f t="shared" ref="J65:J71" si="20">D65-I65</f>
        <v>53353</v>
      </c>
      <c r="K65" s="36">
        <f t="shared" ref="K65:K71" si="21">E65-I65</f>
        <v>27389.84</v>
      </c>
    </row>
    <row r="66" spans="1:11">
      <c r="A66" s="94" t="s">
        <v>19</v>
      </c>
      <c r="B66" s="41"/>
      <c r="C66" s="95" t="s">
        <v>256</v>
      </c>
      <c r="D66" s="36">
        <f>35378+13943.13</f>
        <v>49321.13</v>
      </c>
      <c r="E66" s="36">
        <f>7100+13943.13+8643.13</f>
        <v>29686.259999999995</v>
      </c>
      <c r="F66" s="36"/>
      <c r="G66" s="36"/>
      <c r="H66" s="36"/>
      <c r="I66" s="36">
        <v>1200</v>
      </c>
      <c r="J66" s="36">
        <f t="shared" si="20"/>
        <v>48121.13</v>
      </c>
      <c r="K66" s="36">
        <f t="shared" si="21"/>
        <v>28486.259999999995</v>
      </c>
    </row>
    <row r="67" spans="1:11">
      <c r="A67" s="94" t="s">
        <v>20</v>
      </c>
      <c r="B67" s="41"/>
      <c r="C67" s="95" t="s">
        <v>202</v>
      </c>
      <c r="D67" s="36">
        <f>11122+594.5</f>
        <v>11716.5</v>
      </c>
      <c r="E67" s="36">
        <v>594.5</v>
      </c>
      <c r="F67" s="36"/>
      <c r="G67" s="36"/>
      <c r="H67" s="36"/>
      <c r="I67" s="36">
        <v>0</v>
      </c>
      <c r="J67" s="36">
        <f t="shared" si="20"/>
        <v>11716.5</v>
      </c>
      <c r="K67" s="36">
        <f t="shared" si="21"/>
        <v>594.5</v>
      </c>
    </row>
    <row r="68" spans="1:11" hidden="1">
      <c r="A68" s="94"/>
      <c r="B68" s="41"/>
      <c r="C68" s="95"/>
      <c r="D68" s="36"/>
      <c r="E68" s="36"/>
      <c r="F68" s="36"/>
      <c r="G68" s="36"/>
      <c r="H68" s="36"/>
      <c r="I68" s="36"/>
      <c r="J68" s="36"/>
      <c r="K68" s="36"/>
    </row>
    <row r="69" spans="1:11">
      <c r="A69" s="94" t="s">
        <v>21</v>
      </c>
      <c r="B69" s="41"/>
      <c r="C69" s="95" t="s">
        <v>291</v>
      </c>
      <c r="D69" s="36">
        <f>38713.36+194064</f>
        <v>232777.36</v>
      </c>
      <c r="E69" s="36">
        <v>38713.360000000001</v>
      </c>
      <c r="F69" s="36"/>
      <c r="G69" s="36"/>
      <c r="H69" s="36"/>
      <c r="I69" s="36">
        <v>0</v>
      </c>
      <c r="J69" s="36">
        <f>D69-I69</f>
        <v>232777.36</v>
      </c>
      <c r="K69" s="36">
        <f>E69-I69</f>
        <v>38713.360000000001</v>
      </c>
    </row>
    <row r="70" spans="1:11" ht="25.5">
      <c r="A70" s="94" t="s">
        <v>31</v>
      </c>
      <c r="B70" s="41"/>
      <c r="C70" s="95" t="s">
        <v>203</v>
      </c>
      <c r="D70" s="36">
        <v>140046</v>
      </c>
      <c r="E70" s="36">
        <f>35046+454</f>
        <v>35500</v>
      </c>
      <c r="F70" s="36"/>
      <c r="G70" s="36"/>
      <c r="H70" s="36"/>
      <c r="I70" s="36">
        <v>0</v>
      </c>
      <c r="J70" s="36">
        <f t="shared" si="20"/>
        <v>140046</v>
      </c>
      <c r="K70" s="36">
        <f t="shared" si="21"/>
        <v>35500</v>
      </c>
    </row>
    <row r="71" spans="1:11" ht="25.5" customHeight="1">
      <c r="A71" s="98" t="s">
        <v>186</v>
      </c>
      <c r="B71" s="41"/>
      <c r="C71" s="95" t="s">
        <v>204</v>
      </c>
      <c r="D71" s="36">
        <v>7063</v>
      </c>
      <c r="E71" s="36">
        <v>2500</v>
      </c>
      <c r="F71" s="36"/>
      <c r="G71" s="36"/>
      <c r="H71" s="36"/>
      <c r="I71" s="36">
        <v>0</v>
      </c>
      <c r="J71" s="36">
        <f t="shared" si="20"/>
        <v>7063</v>
      </c>
      <c r="K71" s="36">
        <f t="shared" si="21"/>
        <v>2500</v>
      </c>
    </row>
    <row r="72" spans="1:11" s="102" customFormat="1" ht="12.75" customHeight="1">
      <c r="A72" s="69" t="s">
        <v>155</v>
      </c>
      <c r="B72" s="99"/>
      <c r="C72" s="42"/>
      <c r="D72" s="101">
        <f>SUM(D70:D71)</f>
        <v>147109</v>
      </c>
      <c r="E72" s="101">
        <f t="shared" ref="E72:K72" si="22">SUM(E70:E71)</f>
        <v>38000</v>
      </c>
      <c r="F72" s="101">
        <f t="shared" si="22"/>
        <v>0</v>
      </c>
      <c r="G72" s="101">
        <f t="shared" si="22"/>
        <v>0</v>
      </c>
      <c r="H72" s="101">
        <f t="shared" si="22"/>
        <v>0</v>
      </c>
      <c r="I72" s="101">
        <f t="shared" si="22"/>
        <v>0</v>
      </c>
      <c r="J72" s="101">
        <f t="shared" si="22"/>
        <v>147109</v>
      </c>
      <c r="K72" s="101">
        <f t="shared" si="22"/>
        <v>38000</v>
      </c>
    </row>
    <row r="73" spans="1:11">
      <c r="A73" s="94" t="s">
        <v>20</v>
      </c>
      <c r="B73" s="41"/>
      <c r="C73" s="95" t="s">
        <v>205</v>
      </c>
      <c r="D73" s="36">
        <v>4394</v>
      </c>
      <c r="E73" s="36">
        <v>594</v>
      </c>
      <c r="F73" s="36"/>
      <c r="G73" s="36"/>
      <c r="H73" s="36"/>
      <c r="I73" s="36">
        <v>0</v>
      </c>
      <c r="J73" s="36">
        <f>D73-I73</f>
        <v>4394</v>
      </c>
      <c r="K73" s="36">
        <f>E73-I73</f>
        <v>594</v>
      </c>
    </row>
    <row r="74" spans="1:11">
      <c r="A74" s="94"/>
      <c r="B74" s="41"/>
      <c r="C74" s="95"/>
      <c r="D74" s="36"/>
      <c r="E74" s="36"/>
      <c r="F74" s="36"/>
      <c r="G74" s="36"/>
      <c r="H74" s="36"/>
      <c r="I74" s="36"/>
      <c r="J74" s="36"/>
      <c r="K74" s="36"/>
    </row>
    <row r="75" spans="1:11" ht="147" hidden="1" customHeight="1">
      <c r="A75" s="111" t="s">
        <v>425</v>
      </c>
      <c r="B75" s="41"/>
      <c r="C75" s="95"/>
      <c r="D75" s="36">
        <f>D76+D77</f>
        <v>0</v>
      </c>
      <c r="E75" s="36">
        <f>E76+E77</f>
        <v>0</v>
      </c>
      <c r="F75" s="36">
        <f t="shared" ref="F75:K75" si="23">F76+F77</f>
        <v>0</v>
      </c>
      <c r="G75" s="36">
        <f t="shared" si="23"/>
        <v>0</v>
      </c>
      <c r="H75" s="36">
        <f t="shared" si="23"/>
        <v>0</v>
      </c>
      <c r="I75" s="36">
        <v>0</v>
      </c>
      <c r="J75" s="36">
        <f t="shared" si="23"/>
        <v>0</v>
      </c>
      <c r="K75" s="36">
        <f t="shared" si="23"/>
        <v>0</v>
      </c>
    </row>
    <row r="76" spans="1:11" hidden="1">
      <c r="A76" s="94" t="s">
        <v>19</v>
      </c>
      <c r="B76" s="41"/>
      <c r="C76" s="95" t="s">
        <v>282</v>
      </c>
      <c r="D76" s="36">
        <v>0</v>
      </c>
      <c r="E76" s="36">
        <v>0</v>
      </c>
      <c r="F76" s="36"/>
      <c r="G76" s="36"/>
      <c r="H76" s="36"/>
      <c r="I76" s="36">
        <v>0</v>
      </c>
      <c r="J76" s="36">
        <f>D76-I76</f>
        <v>0</v>
      </c>
      <c r="K76" s="36">
        <f>E76-I76</f>
        <v>0</v>
      </c>
    </row>
    <row r="77" spans="1:11" hidden="1">
      <c r="A77" s="94" t="s">
        <v>19</v>
      </c>
      <c r="B77" s="41"/>
      <c r="C77" s="95" t="s">
        <v>283</v>
      </c>
      <c r="D77" s="36">
        <v>0</v>
      </c>
      <c r="E77" s="36">
        <v>0</v>
      </c>
      <c r="F77" s="36"/>
      <c r="G77" s="36"/>
      <c r="H77" s="36"/>
      <c r="I77" s="36">
        <v>0</v>
      </c>
      <c r="J77" s="36">
        <f>D77-I77</f>
        <v>0</v>
      </c>
      <c r="K77" s="36">
        <f>E77-I77</f>
        <v>0</v>
      </c>
    </row>
    <row r="78" spans="1:11">
      <c r="A78" s="94"/>
      <c r="B78" s="41"/>
      <c r="C78" s="95"/>
      <c r="D78" s="36"/>
      <c r="E78" s="36"/>
      <c r="F78" s="36"/>
      <c r="G78" s="36"/>
      <c r="H78" s="36"/>
      <c r="I78" s="36"/>
      <c r="J78" s="36"/>
      <c r="K78" s="36"/>
    </row>
    <row r="79" spans="1:11" s="79" customFormat="1" ht="127.5">
      <c r="A79" s="112" t="s">
        <v>185</v>
      </c>
      <c r="B79" s="78"/>
      <c r="C79" s="106"/>
      <c r="D79" s="45">
        <f>D80+D81</f>
        <v>500</v>
      </c>
      <c r="E79" s="45">
        <f>E80+E81</f>
        <v>0</v>
      </c>
      <c r="F79" s="45">
        <f t="shared" ref="F79:K79" si="24">F80+F81</f>
        <v>0</v>
      </c>
      <c r="G79" s="45">
        <f t="shared" si="24"/>
        <v>0</v>
      </c>
      <c r="H79" s="45">
        <f t="shared" si="24"/>
        <v>0</v>
      </c>
      <c r="I79" s="45">
        <f t="shared" si="24"/>
        <v>0</v>
      </c>
      <c r="J79" s="45">
        <f t="shared" si="24"/>
        <v>500</v>
      </c>
      <c r="K79" s="45">
        <f t="shared" si="24"/>
        <v>0</v>
      </c>
    </row>
    <row r="80" spans="1:11">
      <c r="A80" s="94" t="s">
        <v>19</v>
      </c>
      <c r="B80" s="41"/>
      <c r="C80" s="95" t="s">
        <v>252</v>
      </c>
      <c r="D80" s="36">
        <v>500</v>
      </c>
      <c r="E80" s="36">
        <f>1000-1000</f>
        <v>0</v>
      </c>
      <c r="F80" s="36"/>
      <c r="G80" s="36"/>
      <c r="H80" s="36"/>
      <c r="I80" s="36">
        <v>0</v>
      </c>
      <c r="J80" s="36">
        <f>D80-I80</f>
        <v>500</v>
      </c>
      <c r="K80" s="36">
        <f>E80-I80</f>
        <v>0</v>
      </c>
    </row>
    <row r="81" spans="1:12" hidden="1">
      <c r="A81" s="94" t="s">
        <v>19</v>
      </c>
      <c r="B81" s="41"/>
      <c r="C81" s="95" t="s">
        <v>253</v>
      </c>
      <c r="D81" s="36">
        <f>1000-1000</f>
        <v>0</v>
      </c>
      <c r="E81" s="36">
        <f>1000-1000</f>
        <v>0</v>
      </c>
      <c r="F81" s="36"/>
      <c r="G81" s="36"/>
      <c r="H81" s="36"/>
      <c r="I81" s="36">
        <v>0</v>
      </c>
      <c r="J81" s="36">
        <f>D81-I81</f>
        <v>0</v>
      </c>
      <c r="K81" s="36">
        <f>E81-I81</f>
        <v>0</v>
      </c>
    </row>
    <row r="82" spans="1:12" s="79" customFormat="1">
      <c r="A82" s="104"/>
      <c r="B82" s="78"/>
      <c r="C82" s="106"/>
      <c r="D82" s="45"/>
      <c r="E82" s="45"/>
      <c r="F82" s="45"/>
      <c r="G82" s="45"/>
      <c r="H82" s="45"/>
      <c r="I82" s="45"/>
      <c r="J82" s="45"/>
      <c r="K82" s="45"/>
    </row>
    <row r="83" spans="1:12" s="79" customFormat="1">
      <c r="A83" s="113" t="s">
        <v>171</v>
      </c>
      <c r="B83" s="78"/>
      <c r="C83" s="44" t="s">
        <v>172</v>
      </c>
      <c r="D83" s="45">
        <f>D93</f>
        <v>5000</v>
      </c>
      <c r="E83" s="45">
        <f>E93</f>
        <v>0</v>
      </c>
      <c r="F83" s="45">
        <f t="shared" ref="F83:K83" si="25">F93</f>
        <v>0</v>
      </c>
      <c r="G83" s="45">
        <f t="shared" si="25"/>
        <v>0</v>
      </c>
      <c r="H83" s="45">
        <f t="shared" si="25"/>
        <v>0</v>
      </c>
      <c r="I83" s="45">
        <f t="shared" si="25"/>
        <v>0</v>
      </c>
      <c r="J83" s="45">
        <f t="shared" si="25"/>
        <v>5000</v>
      </c>
      <c r="K83" s="45">
        <f t="shared" si="25"/>
        <v>0</v>
      </c>
      <c r="L83" s="97"/>
    </row>
    <row r="84" spans="1:12" s="79" customFormat="1" hidden="1">
      <c r="A84" s="94" t="s">
        <v>19</v>
      </c>
      <c r="B84" s="78"/>
      <c r="C84" s="95" t="s">
        <v>118</v>
      </c>
      <c r="D84" s="36"/>
      <c r="E84" s="36"/>
      <c r="F84" s="45"/>
      <c r="G84" s="45"/>
      <c r="H84" s="45"/>
      <c r="I84" s="36"/>
      <c r="J84" s="36">
        <f>D84-I84</f>
        <v>0</v>
      </c>
      <c r="K84" s="36">
        <f>E84-I84</f>
        <v>0</v>
      </c>
      <c r="L84" s="97"/>
    </row>
    <row r="85" spans="1:12" s="79" customFormat="1" hidden="1">
      <c r="A85" s="94" t="s">
        <v>19</v>
      </c>
      <c r="B85" s="78"/>
      <c r="C85" s="95" t="s">
        <v>119</v>
      </c>
      <c r="D85" s="36"/>
      <c r="E85" s="36"/>
      <c r="F85" s="45"/>
      <c r="G85" s="45"/>
      <c r="H85" s="45"/>
      <c r="I85" s="36"/>
      <c r="J85" s="36">
        <f>D85-I85</f>
        <v>0</v>
      </c>
      <c r="K85" s="36">
        <f>E85-I85</f>
        <v>0</v>
      </c>
      <c r="L85" s="97"/>
    </row>
    <row r="86" spans="1:12" s="79" customFormat="1" hidden="1">
      <c r="A86" s="94"/>
      <c r="B86" s="78"/>
      <c r="C86" s="106"/>
      <c r="D86" s="45">
        <f>SUM(D84:D85)</f>
        <v>0</v>
      </c>
      <c r="E86" s="45">
        <f>SUM(E84:E85)</f>
        <v>0</v>
      </c>
      <c r="F86" s="45">
        <f t="shared" ref="F86:K86" si="26">SUM(F84:F85)</f>
        <v>0</v>
      </c>
      <c r="G86" s="45">
        <f t="shared" si="26"/>
        <v>0</v>
      </c>
      <c r="H86" s="45">
        <f t="shared" si="26"/>
        <v>0</v>
      </c>
      <c r="I86" s="45">
        <f t="shared" si="26"/>
        <v>0</v>
      </c>
      <c r="J86" s="45">
        <f t="shared" si="26"/>
        <v>0</v>
      </c>
      <c r="K86" s="45">
        <f t="shared" si="26"/>
        <v>0</v>
      </c>
      <c r="L86" s="97"/>
    </row>
    <row r="87" spans="1:12" s="79" customFormat="1" hidden="1">
      <c r="A87" s="114"/>
      <c r="B87" s="78"/>
      <c r="C87" s="106"/>
      <c r="D87" s="45"/>
      <c r="E87" s="45"/>
      <c r="F87" s="45"/>
      <c r="G87" s="45"/>
      <c r="H87" s="45"/>
      <c r="I87" s="45"/>
      <c r="J87" s="36"/>
      <c r="K87" s="36"/>
      <c r="L87" s="97"/>
    </row>
    <row r="88" spans="1:12" hidden="1">
      <c r="A88" s="94" t="s">
        <v>24</v>
      </c>
      <c r="B88" s="41"/>
      <c r="C88" s="95" t="s">
        <v>104</v>
      </c>
      <c r="D88" s="36"/>
      <c r="E88" s="36"/>
      <c r="F88" s="36"/>
      <c r="G88" s="36"/>
      <c r="H88" s="36"/>
      <c r="I88" s="36"/>
      <c r="J88" s="36">
        <f>D88-I88</f>
        <v>0</v>
      </c>
      <c r="K88" s="36">
        <f>E88-I88</f>
        <v>0</v>
      </c>
    </row>
    <row r="89" spans="1:12" hidden="1">
      <c r="A89" s="108" t="s">
        <v>110</v>
      </c>
      <c r="B89" s="41"/>
      <c r="C89" s="95" t="s">
        <v>105</v>
      </c>
      <c r="D89" s="36"/>
      <c r="E89" s="36"/>
      <c r="F89" s="36"/>
      <c r="G89" s="36"/>
      <c r="H89" s="36"/>
      <c r="I89" s="36"/>
      <c r="J89" s="36">
        <f>D89-I89</f>
        <v>0</v>
      </c>
      <c r="K89" s="36">
        <f>E89-I89</f>
        <v>0</v>
      </c>
    </row>
    <row r="90" spans="1:12" ht="14.25" hidden="1" customHeight="1">
      <c r="A90" s="108" t="s">
        <v>111</v>
      </c>
      <c r="B90" s="41"/>
      <c r="C90" s="95" t="s">
        <v>106</v>
      </c>
      <c r="D90" s="36"/>
      <c r="E90" s="36"/>
      <c r="F90" s="36"/>
      <c r="G90" s="36"/>
      <c r="H90" s="36"/>
      <c r="I90" s="36"/>
      <c r="J90" s="36">
        <f>D90-I90</f>
        <v>0</v>
      </c>
      <c r="K90" s="36">
        <f>E90-I90</f>
        <v>0</v>
      </c>
    </row>
    <row r="91" spans="1:12" s="102" customFormat="1" ht="13.5" hidden="1">
      <c r="A91" s="103" t="s">
        <v>88</v>
      </c>
      <c r="B91" s="99"/>
      <c r="C91" s="42"/>
      <c r="D91" s="101">
        <f t="shared" ref="D91:K91" si="27">SUM(D89:D90)</f>
        <v>0</v>
      </c>
      <c r="E91" s="101">
        <f>SUM(E89:E90)</f>
        <v>0</v>
      </c>
      <c r="F91" s="101">
        <f t="shared" si="27"/>
        <v>0</v>
      </c>
      <c r="G91" s="101">
        <f t="shared" si="27"/>
        <v>0</v>
      </c>
      <c r="H91" s="101">
        <f t="shared" si="27"/>
        <v>0</v>
      </c>
      <c r="I91" s="101">
        <f t="shared" si="27"/>
        <v>0</v>
      </c>
      <c r="J91" s="101">
        <f t="shared" si="27"/>
        <v>0</v>
      </c>
      <c r="K91" s="101">
        <f t="shared" si="27"/>
        <v>0</v>
      </c>
      <c r="L91" s="115"/>
    </row>
    <row r="92" spans="1:12" s="79" customFormat="1" hidden="1">
      <c r="A92" s="104" t="s">
        <v>127</v>
      </c>
      <c r="B92" s="78"/>
      <c r="C92" s="106"/>
      <c r="D92" s="45">
        <f t="shared" ref="D92:K92" si="28">D88+D91</f>
        <v>0</v>
      </c>
      <c r="E92" s="45">
        <f>E88+E91</f>
        <v>0</v>
      </c>
      <c r="F92" s="45">
        <f t="shared" si="28"/>
        <v>0</v>
      </c>
      <c r="G92" s="45">
        <f t="shared" si="28"/>
        <v>0</v>
      </c>
      <c r="H92" s="45">
        <f t="shared" si="28"/>
        <v>0</v>
      </c>
      <c r="I92" s="45">
        <f t="shared" si="28"/>
        <v>0</v>
      </c>
      <c r="J92" s="45">
        <f t="shared" si="28"/>
        <v>0</v>
      </c>
      <c r="K92" s="45">
        <f t="shared" si="28"/>
        <v>0</v>
      </c>
      <c r="L92" s="97"/>
    </row>
    <row r="93" spans="1:12" s="79" customFormat="1">
      <c r="A93" s="116" t="s">
        <v>20</v>
      </c>
      <c r="B93" s="78"/>
      <c r="C93" s="106" t="s">
        <v>206</v>
      </c>
      <c r="D93" s="45">
        <v>5000</v>
      </c>
      <c r="E93" s="45">
        <f>5000-5000</f>
        <v>0</v>
      </c>
      <c r="F93" s="45"/>
      <c r="G93" s="45"/>
      <c r="H93" s="45"/>
      <c r="I93" s="45">
        <v>0</v>
      </c>
      <c r="J93" s="45">
        <f>D93-I93</f>
        <v>5000</v>
      </c>
      <c r="K93" s="45">
        <f>E93-I93</f>
        <v>0</v>
      </c>
    </row>
    <row r="94" spans="1:12" s="79" customFormat="1">
      <c r="A94" s="116"/>
      <c r="B94" s="78"/>
      <c r="C94" s="106"/>
      <c r="D94" s="45"/>
      <c r="E94" s="45"/>
      <c r="F94" s="45"/>
      <c r="G94" s="45"/>
      <c r="H94" s="45"/>
      <c r="I94" s="45"/>
      <c r="J94" s="45"/>
      <c r="K94" s="45"/>
    </row>
    <row r="95" spans="1:12" s="79" customFormat="1">
      <c r="A95" s="65" t="s">
        <v>142</v>
      </c>
      <c r="B95" s="117"/>
      <c r="C95" s="44" t="s">
        <v>173</v>
      </c>
      <c r="D95" s="45">
        <f>D97</f>
        <v>2206</v>
      </c>
      <c r="E95" s="45">
        <f>E97</f>
        <v>551</v>
      </c>
      <c r="F95" s="45">
        <f t="shared" ref="F95:K95" si="29">F97</f>
        <v>0</v>
      </c>
      <c r="G95" s="45">
        <f t="shared" si="29"/>
        <v>0</v>
      </c>
      <c r="H95" s="45">
        <f t="shared" si="29"/>
        <v>0</v>
      </c>
      <c r="I95" s="45">
        <f t="shared" si="29"/>
        <v>0</v>
      </c>
      <c r="J95" s="45">
        <f t="shared" si="29"/>
        <v>2206</v>
      </c>
      <c r="K95" s="45">
        <f t="shared" si="29"/>
        <v>551</v>
      </c>
    </row>
    <row r="96" spans="1:12" s="79" customFormat="1" hidden="1">
      <c r="A96" s="94" t="s">
        <v>21</v>
      </c>
      <c r="B96" s="117"/>
      <c r="C96" s="95" t="s">
        <v>131</v>
      </c>
      <c r="D96" s="36">
        <v>0</v>
      </c>
      <c r="E96" s="36">
        <v>0</v>
      </c>
      <c r="F96" s="36"/>
      <c r="G96" s="36"/>
      <c r="H96" s="36"/>
      <c r="I96" s="36">
        <v>0</v>
      </c>
      <c r="J96" s="36">
        <f>D96-I96</f>
        <v>0</v>
      </c>
      <c r="K96" s="36">
        <f>E96-I96</f>
        <v>0</v>
      </c>
    </row>
    <row r="97" spans="1:11" s="79" customFormat="1" ht="25.5">
      <c r="A97" s="118" t="s">
        <v>30</v>
      </c>
      <c r="B97" s="117"/>
      <c r="C97" s="95" t="s">
        <v>207</v>
      </c>
      <c r="D97" s="36">
        <v>2206</v>
      </c>
      <c r="E97" s="36">
        <v>551</v>
      </c>
      <c r="F97" s="36"/>
      <c r="G97" s="36"/>
      <c r="H97" s="36"/>
      <c r="I97" s="36">
        <v>0</v>
      </c>
      <c r="J97" s="36">
        <f>D97-I97</f>
        <v>2206</v>
      </c>
      <c r="K97" s="36">
        <f>E97-I97</f>
        <v>551</v>
      </c>
    </row>
    <row r="98" spans="1:11" s="79" customFormat="1">
      <c r="A98" s="107"/>
      <c r="B98" s="117"/>
      <c r="C98" s="106"/>
      <c r="D98" s="45"/>
      <c r="E98" s="45"/>
      <c r="F98" s="45"/>
      <c r="G98" s="45"/>
      <c r="H98" s="45"/>
      <c r="I98" s="45"/>
      <c r="J98" s="45"/>
      <c r="K98" s="45"/>
    </row>
    <row r="99" spans="1:11" s="79" customFormat="1">
      <c r="A99" s="65" t="s">
        <v>143</v>
      </c>
      <c r="B99" s="117"/>
      <c r="C99" s="44" t="s">
        <v>174</v>
      </c>
      <c r="D99" s="45">
        <f t="shared" ref="D99:I99" si="30">D100</f>
        <v>83500</v>
      </c>
      <c r="E99" s="45">
        <f t="shared" si="30"/>
        <v>20875</v>
      </c>
      <c r="F99" s="45">
        <f t="shared" si="30"/>
        <v>0</v>
      </c>
      <c r="G99" s="45">
        <f t="shared" si="30"/>
        <v>0</v>
      </c>
      <c r="H99" s="45">
        <f t="shared" si="30"/>
        <v>0</v>
      </c>
      <c r="I99" s="45">
        <f t="shared" si="30"/>
        <v>8571.7200000000012</v>
      </c>
      <c r="J99" s="45">
        <f>J100</f>
        <v>74928.28</v>
      </c>
      <c r="K99" s="45">
        <f>K100</f>
        <v>12303.279999999999</v>
      </c>
    </row>
    <row r="100" spans="1:11" s="79" customFormat="1">
      <c r="A100" s="65" t="s">
        <v>144</v>
      </c>
      <c r="B100" s="117"/>
      <c r="C100" s="44" t="s">
        <v>175</v>
      </c>
      <c r="D100" s="45">
        <f t="shared" ref="D100:I100" si="31">D101+D110+D112+D113+D119+D118</f>
        <v>83500</v>
      </c>
      <c r="E100" s="45">
        <f t="shared" si="31"/>
        <v>20875</v>
      </c>
      <c r="F100" s="45">
        <f t="shared" si="31"/>
        <v>0</v>
      </c>
      <c r="G100" s="45">
        <f t="shared" si="31"/>
        <v>0</v>
      </c>
      <c r="H100" s="45">
        <f t="shared" si="31"/>
        <v>0</v>
      </c>
      <c r="I100" s="45">
        <f t="shared" si="31"/>
        <v>8571.7200000000012</v>
      </c>
      <c r="J100" s="45">
        <f>J101+J110+J112+J113+J119</f>
        <v>74928.28</v>
      </c>
      <c r="K100" s="45">
        <f>K101+K110+K112+K113+K119</f>
        <v>12303.279999999999</v>
      </c>
    </row>
    <row r="101" spans="1:11" s="79" customFormat="1" ht="25.5">
      <c r="A101" s="69" t="s">
        <v>156</v>
      </c>
      <c r="B101" s="117"/>
      <c r="C101" s="106"/>
      <c r="D101" s="45">
        <f>D102+D104+D108</f>
        <v>60867</v>
      </c>
      <c r="E101" s="45">
        <f>E102+E104+E108</f>
        <v>15342</v>
      </c>
      <c r="F101" s="45">
        <f t="shared" ref="F101:K101" si="32">F102+F104+F108</f>
        <v>0</v>
      </c>
      <c r="G101" s="45">
        <f t="shared" si="32"/>
        <v>0</v>
      </c>
      <c r="H101" s="45">
        <f t="shared" si="32"/>
        <v>0</v>
      </c>
      <c r="I101" s="45">
        <f t="shared" si="32"/>
        <v>8571.7200000000012</v>
      </c>
      <c r="J101" s="45">
        <f t="shared" si="32"/>
        <v>52295.28</v>
      </c>
      <c r="K101" s="45">
        <f t="shared" si="32"/>
        <v>6770.28</v>
      </c>
    </row>
    <row r="102" spans="1:11">
      <c r="A102" s="94" t="s">
        <v>14</v>
      </c>
      <c r="B102" s="41"/>
      <c r="C102" s="95" t="s">
        <v>208</v>
      </c>
      <c r="D102" s="36">
        <v>44829</v>
      </c>
      <c r="E102" s="36">
        <v>11207</v>
      </c>
      <c r="F102" s="36"/>
      <c r="G102" s="36"/>
      <c r="H102" s="36"/>
      <c r="I102" s="36">
        <v>6583.5</v>
      </c>
      <c r="J102" s="36">
        <f>D102-I102</f>
        <v>38245.5</v>
      </c>
      <c r="K102" s="36">
        <f>E102-I102</f>
        <v>4623.5</v>
      </c>
    </row>
    <row r="103" spans="1:11" ht="38.25" hidden="1">
      <c r="A103" s="94" t="s">
        <v>26</v>
      </c>
      <c r="B103" s="41"/>
      <c r="C103" s="95" t="s">
        <v>33</v>
      </c>
      <c r="D103" s="36"/>
      <c r="E103" s="36"/>
      <c r="F103" s="36"/>
      <c r="G103" s="36"/>
      <c r="H103" s="36"/>
      <c r="I103" s="36"/>
      <c r="J103" s="36">
        <f>D103-I103</f>
        <v>0</v>
      </c>
      <c r="K103" s="36">
        <f>E103-I103</f>
        <v>0</v>
      </c>
    </row>
    <row r="104" spans="1:11" ht="38.25">
      <c r="A104" s="94" t="s">
        <v>27</v>
      </c>
      <c r="B104" s="41"/>
      <c r="C104" s="95" t="s">
        <v>209</v>
      </c>
      <c r="D104" s="36">
        <v>2500</v>
      </c>
      <c r="E104" s="36">
        <v>750</v>
      </c>
      <c r="F104" s="36"/>
      <c r="G104" s="36"/>
      <c r="H104" s="36"/>
      <c r="I104" s="36">
        <v>0</v>
      </c>
      <c r="J104" s="36">
        <f>D104-I104</f>
        <v>2500</v>
      </c>
      <c r="K104" s="36">
        <f>E104-I104</f>
        <v>750</v>
      </c>
    </row>
    <row r="105" spans="1:11" s="102" customFormat="1" ht="13.5" hidden="1">
      <c r="A105" s="103" t="s">
        <v>90</v>
      </c>
      <c r="B105" s="99"/>
      <c r="C105" s="42"/>
      <c r="D105" s="101">
        <f t="shared" ref="D105:K105" si="33">SUM(D103:D104)</f>
        <v>2500</v>
      </c>
      <c r="E105" s="101">
        <f>SUM(E103:E104)</f>
        <v>750</v>
      </c>
      <c r="F105" s="101">
        <f t="shared" si="33"/>
        <v>0</v>
      </c>
      <c r="G105" s="101">
        <f t="shared" si="33"/>
        <v>0</v>
      </c>
      <c r="H105" s="101">
        <f t="shared" si="33"/>
        <v>0</v>
      </c>
      <c r="I105" s="101">
        <f t="shared" si="33"/>
        <v>0</v>
      </c>
      <c r="J105" s="101">
        <f t="shared" si="33"/>
        <v>2500</v>
      </c>
      <c r="K105" s="101">
        <f t="shared" si="33"/>
        <v>750</v>
      </c>
    </row>
    <row r="106" spans="1:11">
      <c r="A106" s="108" t="s">
        <v>110</v>
      </c>
      <c r="B106" s="41"/>
      <c r="C106" s="95" t="s">
        <v>210</v>
      </c>
      <c r="D106" s="36">
        <v>9860</v>
      </c>
      <c r="E106" s="36">
        <v>2465</v>
      </c>
      <c r="F106" s="36"/>
      <c r="G106" s="36"/>
      <c r="H106" s="36"/>
      <c r="I106" s="36">
        <v>1448.38</v>
      </c>
      <c r="J106" s="36">
        <f>D106-I106</f>
        <v>8411.619999999999</v>
      </c>
      <c r="K106" s="36">
        <f>E106-I106</f>
        <v>1016.6199999999999</v>
      </c>
    </row>
    <row r="107" spans="1:11">
      <c r="A107" s="108" t="s">
        <v>111</v>
      </c>
      <c r="B107" s="41"/>
      <c r="C107" s="95" t="s">
        <v>211</v>
      </c>
      <c r="D107" s="36">
        <v>3678</v>
      </c>
      <c r="E107" s="36">
        <v>920</v>
      </c>
      <c r="F107" s="36"/>
      <c r="G107" s="36"/>
      <c r="H107" s="36"/>
      <c r="I107" s="36">
        <f>13.16+335.76+190.92</f>
        <v>539.84</v>
      </c>
      <c r="J107" s="36">
        <f>D107-I107</f>
        <v>3138.16</v>
      </c>
      <c r="K107" s="36">
        <f>E107-I107</f>
        <v>380.15999999999997</v>
      </c>
    </row>
    <row r="108" spans="1:11" s="102" customFormat="1" ht="13.5">
      <c r="A108" s="69" t="s">
        <v>157</v>
      </c>
      <c r="B108" s="99"/>
      <c r="C108" s="42"/>
      <c r="D108" s="101">
        <f t="shared" ref="D108:K108" si="34">SUM(D106:D107)</f>
        <v>13538</v>
      </c>
      <c r="E108" s="101">
        <f>SUM(E106:E107)</f>
        <v>3385</v>
      </c>
      <c r="F108" s="101">
        <f t="shared" si="34"/>
        <v>0</v>
      </c>
      <c r="G108" s="101">
        <f t="shared" si="34"/>
        <v>0</v>
      </c>
      <c r="H108" s="101">
        <f t="shared" si="34"/>
        <v>0</v>
      </c>
      <c r="I108" s="101">
        <f t="shared" si="34"/>
        <v>1988.2200000000003</v>
      </c>
      <c r="J108" s="101">
        <f t="shared" si="34"/>
        <v>11549.779999999999</v>
      </c>
      <c r="K108" s="101">
        <f t="shared" si="34"/>
        <v>1396.7799999999997</v>
      </c>
    </row>
    <row r="109" spans="1:11" s="102" customFormat="1" ht="13.5">
      <c r="A109" s="119"/>
      <c r="B109" s="120"/>
      <c r="C109" s="121"/>
      <c r="D109" s="122"/>
      <c r="E109" s="122"/>
      <c r="F109" s="101"/>
      <c r="G109" s="101"/>
      <c r="H109" s="101"/>
      <c r="I109" s="101"/>
      <c r="J109" s="101"/>
      <c r="K109" s="101"/>
    </row>
    <row r="110" spans="1:11">
      <c r="A110" s="94" t="s">
        <v>19</v>
      </c>
      <c r="B110" s="41"/>
      <c r="C110" s="95" t="s">
        <v>257</v>
      </c>
      <c r="D110" s="36">
        <v>1650</v>
      </c>
      <c r="E110" s="36">
        <v>410</v>
      </c>
      <c r="F110" s="36"/>
      <c r="G110" s="36"/>
      <c r="H110" s="36"/>
      <c r="I110" s="36">
        <v>0</v>
      </c>
      <c r="J110" s="36">
        <f>D110-I110</f>
        <v>1650</v>
      </c>
      <c r="K110" s="36">
        <f>E110-I110</f>
        <v>410</v>
      </c>
    </row>
    <row r="111" spans="1:11" s="102" customFormat="1" ht="13.5">
      <c r="A111" s="103"/>
      <c r="B111" s="99"/>
      <c r="C111" s="42"/>
      <c r="D111" s="101"/>
      <c r="E111" s="101"/>
      <c r="F111" s="101"/>
      <c r="G111" s="101"/>
      <c r="H111" s="101"/>
      <c r="I111" s="101"/>
      <c r="J111" s="101"/>
      <c r="K111" s="101"/>
    </row>
    <row r="112" spans="1:11">
      <c r="A112" s="94" t="s">
        <v>16</v>
      </c>
      <c r="B112" s="41"/>
      <c r="C112" s="95" t="s">
        <v>212</v>
      </c>
      <c r="D112" s="36">
        <v>3830</v>
      </c>
      <c r="E112" s="36">
        <v>957</v>
      </c>
      <c r="F112" s="36"/>
      <c r="G112" s="36"/>
      <c r="H112" s="36"/>
      <c r="I112" s="36">
        <v>0</v>
      </c>
      <c r="J112" s="36">
        <f t="shared" ref="J112:J119" si="35">D112-I112</f>
        <v>3830</v>
      </c>
      <c r="K112" s="36">
        <f t="shared" ref="K112:K119" si="36">E112-I112</f>
        <v>957</v>
      </c>
    </row>
    <row r="113" spans="1:11" s="40" customFormat="1" ht="13.5">
      <c r="A113" s="123" t="s">
        <v>148</v>
      </c>
      <c r="B113" s="39"/>
      <c r="C113" s="27"/>
      <c r="D113" s="28">
        <f>D114+D116</f>
        <v>4444</v>
      </c>
      <c r="E113" s="28">
        <f>E114+E116</f>
        <v>400</v>
      </c>
      <c r="F113" s="28">
        <f t="shared" ref="F113:K113" si="37">F114+F116</f>
        <v>0</v>
      </c>
      <c r="G113" s="28">
        <f t="shared" si="37"/>
        <v>0</v>
      </c>
      <c r="H113" s="28">
        <f t="shared" si="37"/>
        <v>0</v>
      </c>
      <c r="I113" s="28">
        <f t="shared" si="37"/>
        <v>0</v>
      </c>
      <c r="J113" s="28">
        <f t="shared" si="37"/>
        <v>4444</v>
      </c>
      <c r="K113" s="28">
        <f t="shared" si="37"/>
        <v>400</v>
      </c>
    </row>
    <row r="114" spans="1:11">
      <c r="A114" s="94" t="s">
        <v>18</v>
      </c>
      <c r="B114" s="41"/>
      <c r="C114" s="95" t="s">
        <v>213</v>
      </c>
      <c r="D114" s="36">
        <v>1600</v>
      </c>
      <c r="E114" s="36">
        <v>400</v>
      </c>
      <c r="F114" s="36"/>
      <c r="G114" s="36"/>
      <c r="H114" s="36"/>
      <c r="I114" s="36">
        <v>0</v>
      </c>
      <c r="J114" s="36">
        <f t="shared" si="35"/>
        <v>1600</v>
      </c>
      <c r="K114" s="36">
        <f t="shared" si="36"/>
        <v>400</v>
      </c>
    </row>
    <row r="115" spans="1:11" hidden="1">
      <c r="A115" s="94" t="s">
        <v>19</v>
      </c>
      <c r="B115" s="41"/>
      <c r="C115" s="95" t="s">
        <v>132</v>
      </c>
      <c r="D115" s="36"/>
      <c r="E115" s="36"/>
      <c r="F115" s="36"/>
      <c r="G115" s="36"/>
      <c r="H115" s="36"/>
      <c r="I115" s="36">
        <v>0</v>
      </c>
      <c r="J115" s="36">
        <f t="shared" si="35"/>
        <v>0</v>
      </c>
      <c r="K115" s="36">
        <f t="shared" si="36"/>
        <v>0</v>
      </c>
    </row>
    <row r="116" spans="1:11">
      <c r="A116" s="94" t="s">
        <v>19</v>
      </c>
      <c r="B116" s="41"/>
      <c r="C116" s="95" t="s">
        <v>258</v>
      </c>
      <c r="D116" s="36">
        <v>2844</v>
      </c>
      <c r="E116" s="36">
        <v>0</v>
      </c>
      <c r="F116" s="36"/>
      <c r="G116" s="36"/>
      <c r="H116" s="36"/>
      <c r="I116" s="36">
        <v>0</v>
      </c>
      <c r="J116" s="36">
        <f t="shared" si="35"/>
        <v>2844</v>
      </c>
      <c r="K116" s="36">
        <f t="shared" si="36"/>
        <v>0</v>
      </c>
    </row>
    <row r="117" spans="1:11" hidden="1">
      <c r="A117" s="94" t="s">
        <v>21</v>
      </c>
      <c r="B117" s="41"/>
      <c r="C117" s="95" t="s">
        <v>133</v>
      </c>
      <c r="D117" s="36">
        <v>0</v>
      </c>
      <c r="E117" s="36">
        <v>0</v>
      </c>
      <c r="F117" s="36"/>
      <c r="G117" s="36"/>
      <c r="H117" s="36"/>
      <c r="I117" s="36">
        <v>0</v>
      </c>
      <c r="J117" s="36">
        <f t="shared" si="35"/>
        <v>0</v>
      </c>
      <c r="K117" s="36">
        <f t="shared" si="36"/>
        <v>0</v>
      </c>
    </row>
    <row r="118" spans="1:11">
      <c r="A118" s="124" t="s">
        <v>21</v>
      </c>
      <c r="B118" s="41"/>
      <c r="C118" s="95" t="s">
        <v>289</v>
      </c>
      <c r="D118" s="36">
        <v>0</v>
      </c>
      <c r="E118" s="36">
        <v>0</v>
      </c>
      <c r="F118" s="36"/>
      <c r="G118" s="36"/>
      <c r="H118" s="36"/>
      <c r="I118" s="36">
        <v>0</v>
      </c>
      <c r="J118" s="36">
        <f>D118-I118</f>
        <v>0</v>
      </c>
      <c r="K118" s="36">
        <f>E118-I118</f>
        <v>0</v>
      </c>
    </row>
    <row r="119" spans="1:11" ht="25.5">
      <c r="A119" s="98" t="s">
        <v>30</v>
      </c>
      <c r="B119" s="41"/>
      <c r="C119" s="95" t="s">
        <v>214</v>
      </c>
      <c r="D119" s="36">
        <v>12709</v>
      </c>
      <c r="E119" s="36">
        <v>3766</v>
      </c>
      <c r="F119" s="36"/>
      <c r="G119" s="36"/>
      <c r="H119" s="36"/>
      <c r="I119" s="36">
        <v>0</v>
      </c>
      <c r="J119" s="36">
        <f t="shared" si="35"/>
        <v>12709</v>
      </c>
      <c r="K119" s="36">
        <f t="shared" si="36"/>
        <v>3766</v>
      </c>
    </row>
    <row r="120" spans="1:11" s="79" customFormat="1">
      <c r="A120" s="114"/>
      <c r="B120" s="78"/>
      <c r="C120" s="106"/>
      <c r="D120" s="45"/>
      <c r="E120" s="45"/>
      <c r="F120" s="45"/>
      <c r="G120" s="45"/>
      <c r="H120" s="45"/>
      <c r="I120" s="45"/>
      <c r="J120" s="45"/>
      <c r="K120" s="45"/>
    </row>
    <row r="121" spans="1:11" s="79" customFormat="1" ht="25.5">
      <c r="A121" s="65" t="s">
        <v>146</v>
      </c>
      <c r="B121" s="78"/>
      <c r="C121" s="44" t="s">
        <v>176</v>
      </c>
      <c r="D121" s="45">
        <f>D122</f>
        <v>2256</v>
      </c>
      <c r="E121" s="45">
        <f>E122</f>
        <v>0</v>
      </c>
      <c r="F121" s="45">
        <f t="shared" ref="F121:K121" si="38">F122</f>
        <v>12705</v>
      </c>
      <c r="G121" s="45">
        <f t="shared" si="38"/>
        <v>0</v>
      </c>
      <c r="H121" s="45">
        <f t="shared" si="38"/>
        <v>0</v>
      </c>
      <c r="I121" s="45">
        <f t="shared" si="38"/>
        <v>0</v>
      </c>
      <c r="J121" s="45">
        <f t="shared" si="38"/>
        <v>2256</v>
      </c>
      <c r="K121" s="45">
        <f t="shared" si="38"/>
        <v>0</v>
      </c>
    </row>
    <row r="122" spans="1:11" s="79" customFormat="1">
      <c r="A122" s="65" t="s">
        <v>147</v>
      </c>
      <c r="B122" s="78"/>
      <c r="C122" s="44" t="s">
        <v>129</v>
      </c>
      <c r="D122" s="45">
        <f>D126+D127</f>
        <v>2256</v>
      </c>
      <c r="E122" s="45">
        <f>E126+E127</f>
        <v>0</v>
      </c>
      <c r="F122" s="45">
        <f t="shared" ref="F122:K122" si="39">F126+F127</f>
        <v>12705</v>
      </c>
      <c r="G122" s="45">
        <f t="shared" si="39"/>
        <v>0</v>
      </c>
      <c r="H122" s="45">
        <f t="shared" si="39"/>
        <v>0</v>
      </c>
      <c r="I122" s="45">
        <f t="shared" si="39"/>
        <v>0</v>
      </c>
      <c r="J122" s="45">
        <f t="shared" si="39"/>
        <v>2256</v>
      </c>
      <c r="K122" s="45">
        <f t="shared" si="39"/>
        <v>0</v>
      </c>
    </row>
    <row r="123" spans="1:11" s="79" customFormat="1" hidden="1">
      <c r="A123" s="94" t="s">
        <v>21</v>
      </c>
      <c r="B123" s="78"/>
      <c r="C123" s="95" t="s">
        <v>68</v>
      </c>
      <c r="D123" s="36"/>
      <c r="E123" s="36"/>
      <c r="F123" s="36"/>
      <c r="G123" s="36"/>
      <c r="H123" s="36"/>
      <c r="I123" s="36"/>
      <c r="J123" s="36">
        <f>D123-I123</f>
        <v>0</v>
      </c>
      <c r="K123" s="36">
        <f>E123-I123</f>
        <v>0</v>
      </c>
    </row>
    <row r="124" spans="1:11" s="79" customFormat="1" hidden="1">
      <c r="A124" s="94" t="s">
        <v>21</v>
      </c>
      <c r="B124" s="78"/>
      <c r="C124" s="95" t="s">
        <v>69</v>
      </c>
      <c r="D124" s="36"/>
      <c r="E124" s="36"/>
      <c r="F124" s="36"/>
      <c r="G124" s="36"/>
      <c r="H124" s="36"/>
      <c r="I124" s="36"/>
      <c r="J124" s="36">
        <f>D124-I124</f>
        <v>0</v>
      </c>
      <c r="K124" s="36">
        <f>E124-I124</f>
        <v>0</v>
      </c>
    </row>
    <row r="125" spans="1:11" s="125" customFormat="1">
      <c r="A125" s="69"/>
      <c r="B125" s="78"/>
      <c r="C125" s="106"/>
      <c r="D125" s="45"/>
      <c r="E125" s="45"/>
      <c r="F125" s="45"/>
      <c r="G125" s="45"/>
      <c r="H125" s="45"/>
      <c r="I125" s="45"/>
      <c r="J125" s="45"/>
      <c r="K125" s="45"/>
    </row>
    <row r="126" spans="1:11" s="79" customFormat="1">
      <c r="A126" s="126" t="s">
        <v>138</v>
      </c>
      <c r="B126" s="78"/>
      <c r="C126" s="95" t="s">
        <v>259</v>
      </c>
      <c r="D126" s="45">
        <v>1776</v>
      </c>
      <c r="E126" s="45">
        <v>0</v>
      </c>
      <c r="F126" s="45">
        <v>12100</v>
      </c>
      <c r="G126" s="45"/>
      <c r="H126" s="45"/>
      <c r="I126" s="45">
        <v>0</v>
      </c>
      <c r="J126" s="36">
        <f>D126-I126</f>
        <v>1776</v>
      </c>
      <c r="K126" s="36">
        <f>E126-I126</f>
        <v>0</v>
      </c>
    </row>
    <row r="127" spans="1:11" s="79" customFormat="1">
      <c r="A127" s="126" t="s">
        <v>138</v>
      </c>
      <c r="B127" s="78"/>
      <c r="C127" s="95" t="s">
        <v>260</v>
      </c>
      <c r="D127" s="45">
        <v>480</v>
      </c>
      <c r="E127" s="45">
        <f>480-480</f>
        <v>0</v>
      </c>
      <c r="F127" s="45">
        <v>605</v>
      </c>
      <c r="G127" s="45"/>
      <c r="H127" s="45"/>
      <c r="I127" s="45">
        <v>0</v>
      </c>
      <c r="J127" s="36">
        <f>D127-I127</f>
        <v>480</v>
      </c>
      <c r="K127" s="36">
        <f>E127-I127</f>
        <v>0</v>
      </c>
    </row>
    <row r="128" spans="1:11" s="79" customFormat="1">
      <c r="A128" s="104"/>
      <c r="B128" s="78"/>
      <c r="C128" s="95"/>
      <c r="D128" s="45"/>
      <c r="E128" s="45"/>
      <c r="F128" s="45"/>
      <c r="G128" s="45"/>
      <c r="H128" s="45"/>
      <c r="I128" s="45"/>
      <c r="J128" s="45"/>
      <c r="K128" s="45"/>
    </row>
    <row r="129" spans="1:11" s="125" customFormat="1" hidden="1">
      <c r="A129" s="127" t="s">
        <v>115</v>
      </c>
      <c r="B129" s="128"/>
      <c r="C129" s="129" t="s">
        <v>116</v>
      </c>
      <c r="D129" s="130"/>
      <c r="E129" s="130"/>
      <c r="F129" s="130"/>
      <c r="G129" s="130"/>
      <c r="H129" s="130"/>
      <c r="I129" s="130"/>
      <c r="J129" s="130">
        <f>D129-I129</f>
        <v>0</v>
      </c>
      <c r="K129" s="130">
        <f>E129-I129</f>
        <v>0</v>
      </c>
    </row>
    <row r="130" spans="1:11" s="125" customFormat="1" hidden="1">
      <c r="A130" s="127" t="s">
        <v>115</v>
      </c>
      <c r="B130" s="128"/>
      <c r="C130" s="129" t="s">
        <v>120</v>
      </c>
      <c r="D130" s="130"/>
      <c r="E130" s="130"/>
      <c r="F130" s="130"/>
      <c r="G130" s="130"/>
      <c r="H130" s="130"/>
      <c r="I130" s="130"/>
      <c r="J130" s="130">
        <f>D130-I130</f>
        <v>0</v>
      </c>
      <c r="K130" s="130">
        <f>E130-I130</f>
        <v>0</v>
      </c>
    </row>
    <row r="131" spans="1:11" s="125" customFormat="1" hidden="1">
      <c r="A131" s="127" t="s">
        <v>115</v>
      </c>
      <c r="B131" s="128"/>
      <c r="C131" s="129" t="s">
        <v>121</v>
      </c>
      <c r="D131" s="130"/>
      <c r="E131" s="130"/>
      <c r="F131" s="130"/>
      <c r="G131" s="130"/>
      <c r="H131" s="130"/>
      <c r="I131" s="130"/>
      <c r="J131" s="130">
        <f>D131-I131</f>
        <v>0</v>
      </c>
      <c r="K131" s="130">
        <f>E131-I131</f>
        <v>0</v>
      </c>
    </row>
    <row r="132" spans="1:11" s="125" customFormat="1" ht="13.5" hidden="1">
      <c r="A132" s="127"/>
      <c r="B132" s="128"/>
      <c r="C132" s="129"/>
      <c r="D132" s="131">
        <f>SUM(D130:D131)</f>
        <v>0</v>
      </c>
      <c r="E132" s="131">
        <f>SUM(E130:E131)</f>
        <v>0</v>
      </c>
      <c r="F132" s="131">
        <f t="shared" ref="F132:K132" si="40">SUM(F130:F131)</f>
        <v>0</v>
      </c>
      <c r="G132" s="131">
        <f t="shared" si="40"/>
        <v>0</v>
      </c>
      <c r="H132" s="131">
        <f t="shared" si="40"/>
        <v>0</v>
      </c>
      <c r="I132" s="131">
        <f t="shared" si="40"/>
        <v>0</v>
      </c>
      <c r="J132" s="131">
        <f t="shared" si="40"/>
        <v>0</v>
      </c>
      <c r="K132" s="131">
        <f t="shared" si="40"/>
        <v>0</v>
      </c>
    </row>
    <row r="133" spans="1:11" s="125" customFormat="1" hidden="1">
      <c r="A133" s="132" t="s">
        <v>122</v>
      </c>
      <c r="B133" s="128"/>
      <c r="C133" s="129"/>
      <c r="D133" s="133">
        <f>SUM(D129:D131)</f>
        <v>0</v>
      </c>
      <c r="E133" s="133">
        <f>SUM(E129:E131)</f>
        <v>0</v>
      </c>
      <c r="F133" s="133">
        <f t="shared" ref="F133:K133" si="41">SUM(F129:F131)</f>
        <v>0</v>
      </c>
      <c r="G133" s="133">
        <f t="shared" si="41"/>
        <v>0</v>
      </c>
      <c r="H133" s="133">
        <f t="shared" si="41"/>
        <v>0</v>
      </c>
      <c r="I133" s="133">
        <f t="shared" si="41"/>
        <v>0</v>
      </c>
      <c r="J133" s="133">
        <f t="shared" si="41"/>
        <v>0</v>
      </c>
      <c r="K133" s="133">
        <f t="shared" si="41"/>
        <v>0</v>
      </c>
    </row>
    <row r="134" spans="1:11" s="125" customFormat="1">
      <c r="A134" s="65" t="s">
        <v>149</v>
      </c>
      <c r="B134" s="128"/>
      <c r="C134" s="44" t="s">
        <v>177</v>
      </c>
      <c r="D134" s="45">
        <f>D135</f>
        <v>467176</v>
      </c>
      <c r="E134" s="45">
        <f t="shared" ref="E134:K134" si="42">E135</f>
        <v>92119</v>
      </c>
      <c r="F134" s="45">
        <f t="shared" si="42"/>
        <v>277550</v>
      </c>
      <c r="G134" s="45">
        <f t="shared" si="42"/>
        <v>0</v>
      </c>
      <c r="H134" s="45">
        <f t="shared" si="42"/>
        <v>0</v>
      </c>
      <c r="I134" s="45">
        <f t="shared" si="42"/>
        <v>0</v>
      </c>
      <c r="J134" s="45">
        <f t="shared" si="42"/>
        <v>467176</v>
      </c>
      <c r="K134" s="45">
        <f t="shared" si="42"/>
        <v>92119</v>
      </c>
    </row>
    <row r="135" spans="1:11" s="125" customFormat="1">
      <c r="A135" s="65" t="s">
        <v>150</v>
      </c>
      <c r="B135" s="128"/>
      <c r="C135" s="44" t="s">
        <v>145</v>
      </c>
      <c r="D135" s="45">
        <f>D137+D139+D140+D141+D138</f>
        <v>467176</v>
      </c>
      <c r="E135" s="45">
        <f>E137+E139+E140+E141+E138</f>
        <v>92119</v>
      </c>
      <c r="F135" s="45">
        <f t="shared" ref="F135:K135" si="43">F137+F139+F140+F141+F138</f>
        <v>277550</v>
      </c>
      <c r="G135" s="45">
        <f t="shared" si="43"/>
        <v>0</v>
      </c>
      <c r="H135" s="45">
        <f t="shared" si="43"/>
        <v>0</v>
      </c>
      <c r="I135" s="45">
        <f t="shared" si="43"/>
        <v>0</v>
      </c>
      <c r="J135" s="45">
        <f t="shared" si="43"/>
        <v>467176</v>
      </c>
      <c r="K135" s="45">
        <f t="shared" si="43"/>
        <v>92119</v>
      </c>
    </row>
    <row r="136" spans="1:11" s="125" customFormat="1">
      <c r="A136" s="69" t="s">
        <v>148</v>
      </c>
      <c r="B136" s="128"/>
      <c r="C136" s="129"/>
      <c r="D136" s="133"/>
      <c r="E136" s="133"/>
      <c r="F136" s="133"/>
      <c r="G136" s="133"/>
      <c r="H136" s="133"/>
      <c r="I136" s="133"/>
      <c r="J136" s="133"/>
      <c r="K136" s="133"/>
    </row>
    <row r="137" spans="1:11" s="79" customFormat="1" ht="17.25" customHeight="1">
      <c r="A137" s="94" t="s">
        <v>18</v>
      </c>
      <c r="B137" s="78"/>
      <c r="C137" s="95" t="s">
        <v>266</v>
      </c>
      <c r="D137" s="36">
        <f>72400-19</f>
        <v>72381</v>
      </c>
      <c r="E137" s="36">
        <v>18100</v>
      </c>
      <c r="F137" s="36">
        <v>55510</v>
      </c>
      <c r="G137" s="36"/>
      <c r="H137" s="36"/>
      <c r="I137" s="36">
        <v>0</v>
      </c>
      <c r="J137" s="36">
        <f>D137-I137</f>
        <v>72381</v>
      </c>
      <c r="K137" s="36">
        <f>E137-I137</f>
        <v>18100</v>
      </c>
    </row>
    <row r="138" spans="1:11" s="79" customFormat="1" ht="17.25" customHeight="1">
      <c r="A138" s="94" t="s">
        <v>18</v>
      </c>
      <c r="B138" s="78"/>
      <c r="C138" s="95" t="s">
        <v>270</v>
      </c>
      <c r="D138" s="36">
        <f>19</f>
        <v>19</v>
      </c>
      <c r="E138" s="36">
        <v>19</v>
      </c>
      <c r="F138" s="36">
        <v>55510</v>
      </c>
      <c r="G138" s="36"/>
      <c r="H138" s="36"/>
      <c r="I138" s="36">
        <v>0</v>
      </c>
      <c r="J138" s="36">
        <f>D138-I138</f>
        <v>19</v>
      </c>
      <c r="K138" s="36">
        <f>E138-I138</f>
        <v>19</v>
      </c>
    </row>
    <row r="139" spans="1:11" s="79" customFormat="1" ht="17.25" customHeight="1">
      <c r="A139" s="94" t="s">
        <v>19</v>
      </c>
      <c r="B139" s="78"/>
      <c r="C139" s="95" t="s">
        <v>444</v>
      </c>
      <c r="D139" s="36">
        <f>376</f>
        <v>376</v>
      </c>
      <c r="E139" s="36">
        <f>376-376</f>
        <v>0</v>
      </c>
      <c r="F139" s="36">
        <v>55510</v>
      </c>
      <c r="G139" s="36"/>
      <c r="H139" s="36"/>
      <c r="I139" s="36"/>
      <c r="J139" s="36">
        <f>D139-I139</f>
        <v>376</v>
      </c>
      <c r="K139" s="36">
        <f>E139-I139</f>
        <v>0</v>
      </c>
    </row>
    <row r="140" spans="1:11" s="79" customFormat="1" ht="17.25" customHeight="1">
      <c r="A140" s="94" t="s">
        <v>18</v>
      </c>
      <c r="B140" s="78"/>
      <c r="C140" s="95" t="s">
        <v>215</v>
      </c>
      <c r="D140" s="36">
        <v>394400</v>
      </c>
      <c r="E140" s="36">
        <v>74000</v>
      </c>
      <c r="F140" s="36">
        <v>55510</v>
      </c>
      <c r="G140" s="36"/>
      <c r="H140" s="36"/>
      <c r="I140" s="36">
        <v>0</v>
      </c>
      <c r="J140" s="36">
        <f>D140-I140</f>
        <v>394400</v>
      </c>
      <c r="K140" s="36">
        <f>E140-I140</f>
        <v>74000</v>
      </c>
    </row>
    <row r="141" spans="1:11" s="79" customFormat="1" ht="17.25" customHeight="1">
      <c r="A141" s="94" t="s">
        <v>19</v>
      </c>
      <c r="B141" s="78"/>
      <c r="C141" s="95" t="s">
        <v>267</v>
      </c>
      <c r="D141" s="36">
        <v>0</v>
      </c>
      <c r="E141" s="36">
        <v>0</v>
      </c>
      <c r="F141" s="36">
        <v>55510</v>
      </c>
      <c r="G141" s="36"/>
      <c r="H141" s="36"/>
      <c r="I141" s="36">
        <v>0</v>
      </c>
      <c r="J141" s="36">
        <f>D141-I141</f>
        <v>0</v>
      </c>
      <c r="K141" s="36">
        <f>E141-I141</f>
        <v>0</v>
      </c>
    </row>
    <row r="142" spans="1:11" s="79" customFormat="1" ht="17.25" customHeight="1">
      <c r="A142" s="94"/>
      <c r="B142" s="78"/>
      <c r="C142" s="95"/>
      <c r="D142" s="36"/>
      <c r="E142" s="36"/>
      <c r="F142" s="36"/>
      <c r="G142" s="36"/>
      <c r="H142" s="36"/>
      <c r="I142" s="36"/>
      <c r="J142" s="36"/>
      <c r="K142" s="36"/>
    </row>
    <row r="143" spans="1:11" s="79" customFormat="1" ht="17.25" customHeight="1">
      <c r="A143" s="104" t="s">
        <v>151</v>
      </c>
      <c r="B143" s="78"/>
      <c r="C143" s="134" t="s">
        <v>161</v>
      </c>
      <c r="D143" s="45">
        <f>D144</f>
        <v>344596</v>
      </c>
      <c r="E143" s="45">
        <f t="shared" ref="E143:K143" si="44">E144</f>
        <v>133076</v>
      </c>
      <c r="F143" s="45">
        <f t="shared" si="44"/>
        <v>0</v>
      </c>
      <c r="G143" s="45">
        <f t="shared" si="44"/>
        <v>0</v>
      </c>
      <c r="H143" s="45">
        <f t="shared" si="44"/>
        <v>0</v>
      </c>
      <c r="I143" s="45">
        <f t="shared" si="44"/>
        <v>113328.38</v>
      </c>
      <c r="J143" s="45">
        <f t="shared" si="44"/>
        <v>231267.62</v>
      </c>
      <c r="K143" s="45">
        <f t="shared" si="44"/>
        <v>19747.619999999995</v>
      </c>
    </row>
    <row r="144" spans="1:11" s="79" customFormat="1" ht="17.25" customHeight="1">
      <c r="A144" s="104" t="s">
        <v>152</v>
      </c>
      <c r="B144" s="78"/>
      <c r="C144" s="134" t="s">
        <v>294</v>
      </c>
      <c r="D144" s="45">
        <f>D145+D153+D154</f>
        <v>344596</v>
      </c>
      <c r="E144" s="45">
        <f t="shared" ref="E144:K144" si="45">E145+E153+E154</f>
        <v>133076</v>
      </c>
      <c r="F144" s="45">
        <f t="shared" si="45"/>
        <v>0</v>
      </c>
      <c r="G144" s="45">
        <f t="shared" si="45"/>
        <v>0</v>
      </c>
      <c r="H144" s="45">
        <f t="shared" si="45"/>
        <v>0</v>
      </c>
      <c r="I144" s="45">
        <f t="shared" si="45"/>
        <v>113328.38</v>
      </c>
      <c r="J144" s="45">
        <f t="shared" si="45"/>
        <v>231267.62</v>
      </c>
      <c r="K144" s="45">
        <f t="shared" si="45"/>
        <v>19747.619999999995</v>
      </c>
    </row>
    <row r="145" spans="1:11" s="79" customFormat="1" ht="17.25" customHeight="1">
      <c r="A145" s="104" t="s">
        <v>152</v>
      </c>
      <c r="B145" s="78"/>
      <c r="C145" s="134" t="s">
        <v>160</v>
      </c>
      <c r="D145" s="45">
        <f>D146</f>
        <v>344596</v>
      </c>
      <c r="E145" s="45">
        <f>E146</f>
        <v>133076</v>
      </c>
      <c r="F145" s="45">
        <f t="shared" ref="F145:K145" si="46">F146</f>
        <v>0</v>
      </c>
      <c r="G145" s="45">
        <f t="shared" si="46"/>
        <v>0</v>
      </c>
      <c r="H145" s="45">
        <f t="shared" si="46"/>
        <v>0</v>
      </c>
      <c r="I145" s="45">
        <f t="shared" si="46"/>
        <v>113328.38</v>
      </c>
      <c r="J145" s="45">
        <f t="shared" si="46"/>
        <v>231267.62</v>
      </c>
      <c r="K145" s="45">
        <f t="shared" si="46"/>
        <v>19747.619999999995</v>
      </c>
    </row>
    <row r="146" spans="1:11" s="125" customFormat="1">
      <c r="A146" s="126" t="s">
        <v>148</v>
      </c>
      <c r="B146" s="128"/>
      <c r="C146" s="135" t="s">
        <v>159</v>
      </c>
      <c r="D146" s="45">
        <f>D147+D148+D151+D150</f>
        <v>344596</v>
      </c>
      <c r="E146" s="45">
        <f>E147+E148+E151+E150</f>
        <v>133076</v>
      </c>
      <c r="F146" s="45">
        <f t="shared" ref="F146:K146" si="47">F147+F148+F151</f>
        <v>0</v>
      </c>
      <c r="G146" s="45">
        <f t="shared" si="47"/>
        <v>0</v>
      </c>
      <c r="H146" s="45">
        <f t="shared" si="47"/>
        <v>0</v>
      </c>
      <c r="I146" s="45">
        <f t="shared" si="47"/>
        <v>113328.38</v>
      </c>
      <c r="J146" s="45">
        <f t="shared" si="47"/>
        <v>231267.62</v>
      </c>
      <c r="K146" s="45">
        <f t="shared" si="47"/>
        <v>19747.619999999995</v>
      </c>
    </row>
    <row r="147" spans="1:11">
      <c r="A147" s="94" t="s">
        <v>17</v>
      </c>
      <c r="B147" s="41"/>
      <c r="C147" s="95" t="s">
        <v>216</v>
      </c>
      <c r="D147" s="36">
        <v>293475</v>
      </c>
      <c r="E147" s="36">
        <f>73368+59708</f>
        <v>133076</v>
      </c>
      <c r="F147" s="136"/>
      <c r="G147" s="36"/>
      <c r="H147" s="36"/>
      <c r="I147" s="36">
        <v>113328.38</v>
      </c>
      <c r="J147" s="36">
        <f>D147-I147</f>
        <v>180146.62</v>
      </c>
      <c r="K147" s="36">
        <f>E147-I147</f>
        <v>19747.619999999995</v>
      </c>
    </row>
    <row r="148" spans="1:11">
      <c r="A148" s="126" t="s">
        <v>138</v>
      </c>
      <c r="B148" s="41"/>
      <c r="C148" s="95" t="s">
        <v>261</v>
      </c>
      <c r="D148" s="36">
        <v>50621</v>
      </c>
      <c r="E148" s="36">
        <v>0</v>
      </c>
      <c r="F148" s="36"/>
      <c r="G148" s="36"/>
      <c r="H148" s="36"/>
      <c r="I148" s="36">
        <v>0</v>
      </c>
      <c r="J148" s="36">
        <f>D148-I148</f>
        <v>50621</v>
      </c>
      <c r="K148" s="36">
        <f>E148-I148</f>
        <v>0</v>
      </c>
    </row>
    <row r="149" spans="1:11" hidden="1">
      <c r="A149" s="94" t="s">
        <v>18</v>
      </c>
      <c r="B149" s="41"/>
      <c r="C149" s="95" t="s">
        <v>95</v>
      </c>
      <c r="D149" s="36"/>
      <c r="E149" s="36"/>
      <c r="F149" s="36"/>
      <c r="G149" s="36"/>
      <c r="H149" s="36"/>
      <c r="I149" s="36"/>
      <c r="J149" s="36">
        <f>D149-I149</f>
        <v>0</v>
      </c>
      <c r="K149" s="36">
        <f>E149-I149</f>
        <v>0</v>
      </c>
    </row>
    <row r="150" spans="1:11">
      <c r="A150" s="126" t="s">
        <v>138</v>
      </c>
      <c r="B150" s="41"/>
      <c r="C150" s="95" t="s">
        <v>288</v>
      </c>
      <c r="D150" s="36">
        <f>19465-19465</f>
        <v>0</v>
      </c>
      <c r="E150" s="36">
        <f>19465-19465</f>
        <v>0</v>
      </c>
      <c r="F150" s="36"/>
      <c r="G150" s="36"/>
      <c r="H150" s="36"/>
      <c r="I150" s="36">
        <v>0</v>
      </c>
      <c r="J150" s="36">
        <f>D150-I150</f>
        <v>0</v>
      </c>
      <c r="K150" s="36">
        <f>E150-I150</f>
        <v>0</v>
      </c>
    </row>
    <row r="151" spans="1:11">
      <c r="A151" s="94" t="s">
        <v>19</v>
      </c>
      <c r="B151" s="41"/>
      <c r="C151" s="95" t="s">
        <v>262</v>
      </c>
      <c r="D151" s="36">
        <v>500</v>
      </c>
      <c r="E151" s="36">
        <f>1000-1000</f>
        <v>0</v>
      </c>
      <c r="F151" s="36"/>
      <c r="G151" s="36"/>
      <c r="H151" s="36"/>
      <c r="I151" s="36">
        <v>0</v>
      </c>
      <c r="J151" s="36">
        <f>D151-I151</f>
        <v>500</v>
      </c>
      <c r="K151" s="36">
        <f>E151-I151</f>
        <v>0</v>
      </c>
    </row>
    <row r="152" spans="1:11">
      <c r="A152" s="94"/>
      <c r="B152" s="41"/>
      <c r="C152" s="95"/>
      <c r="D152" s="36"/>
      <c r="E152" s="36"/>
      <c r="F152" s="36"/>
      <c r="G152" s="36"/>
      <c r="H152" s="36"/>
      <c r="I152" s="36"/>
      <c r="J152" s="36"/>
      <c r="K152" s="36"/>
    </row>
    <row r="153" spans="1:11">
      <c r="A153" s="94" t="s">
        <v>19</v>
      </c>
      <c r="B153" s="41"/>
      <c r="C153" s="95" t="s">
        <v>284</v>
      </c>
      <c r="D153" s="36">
        <v>0</v>
      </c>
      <c r="E153" s="36">
        <v>0</v>
      </c>
      <c r="F153" s="36"/>
      <c r="G153" s="36"/>
      <c r="H153" s="36"/>
      <c r="I153" s="36">
        <v>0</v>
      </c>
      <c r="J153" s="36">
        <f>D153-I153</f>
        <v>0</v>
      </c>
      <c r="K153" s="36">
        <f>E153-I153</f>
        <v>0</v>
      </c>
    </row>
    <row r="154" spans="1:11">
      <c r="A154" s="94" t="s">
        <v>19</v>
      </c>
      <c r="B154" s="41"/>
      <c r="C154" s="95" t="s">
        <v>285</v>
      </c>
      <c r="D154" s="36">
        <v>0</v>
      </c>
      <c r="E154" s="36">
        <v>0</v>
      </c>
      <c r="F154" s="36"/>
      <c r="G154" s="36"/>
      <c r="H154" s="36"/>
      <c r="I154" s="36">
        <v>0</v>
      </c>
      <c r="J154" s="36">
        <f>D154-I154</f>
        <v>0</v>
      </c>
      <c r="K154" s="36">
        <f>E154-I154</f>
        <v>0</v>
      </c>
    </row>
    <row r="155" spans="1:11" s="79" customFormat="1">
      <c r="A155" s="114"/>
      <c r="B155" s="78"/>
      <c r="C155" s="106"/>
      <c r="D155" s="45"/>
      <c r="E155" s="45"/>
      <c r="F155" s="45"/>
      <c r="G155" s="45"/>
      <c r="H155" s="45"/>
      <c r="I155" s="45"/>
      <c r="J155" s="45"/>
      <c r="K155" s="45"/>
    </row>
    <row r="156" spans="1:11" s="79" customFormat="1">
      <c r="A156" s="104" t="s">
        <v>153</v>
      </c>
      <c r="B156" s="78"/>
      <c r="C156" s="134" t="s">
        <v>162</v>
      </c>
      <c r="D156" s="45">
        <f>D157+D177</f>
        <v>3082852</v>
      </c>
      <c r="E156" s="45">
        <f>E157+E177</f>
        <v>888500.75</v>
      </c>
      <c r="F156" s="45" t="e">
        <f t="shared" ref="F156:K156" si="48">F157+F177</f>
        <v>#REF!</v>
      </c>
      <c r="G156" s="45" t="e">
        <f t="shared" si="48"/>
        <v>#REF!</v>
      </c>
      <c r="H156" s="45" t="e">
        <f t="shared" si="48"/>
        <v>#REF!</v>
      </c>
      <c r="I156" s="45">
        <f t="shared" si="48"/>
        <v>495187.25999999989</v>
      </c>
      <c r="J156" s="45">
        <f t="shared" si="48"/>
        <v>2587664.7400000002</v>
      </c>
      <c r="K156" s="45">
        <f t="shared" si="48"/>
        <v>393313.49000000005</v>
      </c>
    </row>
    <row r="157" spans="1:11" s="79" customFormat="1" ht="25.5">
      <c r="A157" s="104" t="s">
        <v>154</v>
      </c>
      <c r="B157" s="78"/>
      <c r="C157" s="134" t="s">
        <v>163</v>
      </c>
      <c r="D157" s="45">
        <f>D158+D167+D168+D170+D175</f>
        <v>874369</v>
      </c>
      <c r="E157" s="45">
        <f>E158+E167+E168+E170+E175</f>
        <v>221139</v>
      </c>
      <c r="F157" s="45">
        <f t="shared" ref="F157:K157" si="49">F158+F167+F168+F170+F175</f>
        <v>0</v>
      </c>
      <c r="G157" s="45">
        <f t="shared" si="49"/>
        <v>0</v>
      </c>
      <c r="H157" s="45">
        <f t="shared" si="49"/>
        <v>0</v>
      </c>
      <c r="I157" s="45">
        <f t="shared" si="49"/>
        <v>94172.969999999987</v>
      </c>
      <c r="J157" s="45">
        <f t="shared" si="49"/>
        <v>780196.03</v>
      </c>
      <c r="K157" s="45">
        <f t="shared" si="49"/>
        <v>126966.03000000001</v>
      </c>
    </row>
    <row r="158" spans="1:11" s="79" customFormat="1" ht="25.5">
      <c r="A158" s="126" t="s">
        <v>156</v>
      </c>
      <c r="B158" s="78"/>
      <c r="C158" s="135" t="s">
        <v>164</v>
      </c>
      <c r="D158" s="45">
        <f>D159+D162+D165</f>
        <v>763308</v>
      </c>
      <c r="E158" s="45">
        <f>E159+E162+E165</f>
        <v>186728</v>
      </c>
      <c r="F158" s="45">
        <f t="shared" ref="F158:K158" si="50">F159+F162+F165</f>
        <v>0</v>
      </c>
      <c r="G158" s="45">
        <f t="shared" si="50"/>
        <v>0</v>
      </c>
      <c r="H158" s="45">
        <f t="shared" si="50"/>
        <v>0</v>
      </c>
      <c r="I158" s="45">
        <f t="shared" si="50"/>
        <v>91633.449999999983</v>
      </c>
      <c r="J158" s="45">
        <f t="shared" si="50"/>
        <v>671674.55</v>
      </c>
      <c r="K158" s="45">
        <f t="shared" si="50"/>
        <v>95094.550000000017</v>
      </c>
    </row>
    <row r="159" spans="1:11">
      <c r="A159" s="94" t="s">
        <v>25</v>
      </c>
      <c r="B159" s="41"/>
      <c r="C159" s="95" t="s">
        <v>218</v>
      </c>
      <c r="D159" s="36">
        <f>622582-47460</f>
        <v>575122</v>
      </c>
      <c r="E159" s="36">
        <f>188091-47460</f>
        <v>140631</v>
      </c>
      <c r="F159" s="36"/>
      <c r="G159" s="36"/>
      <c r="H159" s="36"/>
      <c r="I159" s="36">
        <v>116973.37</v>
      </c>
      <c r="J159" s="36">
        <f>D159-I159</f>
        <v>458148.63</v>
      </c>
      <c r="K159" s="36">
        <f>E159-I159</f>
        <v>23657.630000000005</v>
      </c>
    </row>
    <row r="160" spans="1:11" ht="38.25">
      <c r="A160" s="94" t="s">
        <v>26</v>
      </c>
      <c r="B160" s="41"/>
      <c r="C160" s="95" t="s">
        <v>217</v>
      </c>
      <c r="D160" s="36">
        <v>0</v>
      </c>
      <c r="E160" s="36">
        <v>0</v>
      </c>
      <c r="F160" s="36"/>
      <c r="G160" s="36"/>
      <c r="H160" s="36"/>
      <c r="I160" s="36">
        <v>0</v>
      </c>
      <c r="J160" s="36">
        <f>D160-I160</f>
        <v>0</v>
      </c>
      <c r="K160" s="36">
        <f>E160-I160</f>
        <v>0</v>
      </c>
    </row>
    <row r="161" spans="1:11" ht="38.25">
      <c r="A161" s="94" t="s">
        <v>27</v>
      </c>
      <c r="B161" s="41"/>
      <c r="C161" s="95" t="s">
        <v>219</v>
      </c>
      <c r="D161" s="36">
        <v>14500</v>
      </c>
      <c r="E161" s="36">
        <v>3625</v>
      </c>
      <c r="F161" s="36"/>
      <c r="G161" s="36"/>
      <c r="H161" s="36"/>
      <c r="I161" s="36">
        <v>0</v>
      </c>
      <c r="J161" s="36">
        <f>D161-I161</f>
        <v>14500</v>
      </c>
      <c r="K161" s="36">
        <f>E161-I161</f>
        <v>3625</v>
      </c>
    </row>
    <row r="162" spans="1:11" s="102" customFormat="1" ht="13.5">
      <c r="A162" s="103" t="s">
        <v>158</v>
      </c>
      <c r="B162" s="99"/>
      <c r="C162" s="42"/>
      <c r="D162" s="101">
        <f t="shared" ref="D162:K162" si="51">SUM(D160:D161)</f>
        <v>14500</v>
      </c>
      <c r="E162" s="101">
        <f>SUM(E160:E161)</f>
        <v>3625</v>
      </c>
      <c r="F162" s="101">
        <f t="shared" si="51"/>
        <v>0</v>
      </c>
      <c r="G162" s="101">
        <f t="shared" si="51"/>
        <v>0</v>
      </c>
      <c r="H162" s="101">
        <f t="shared" si="51"/>
        <v>0</v>
      </c>
      <c r="I162" s="101">
        <f t="shared" si="51"/>
        <v>0</v>
      </c>
      <c r="J162" s="101">
        <f t="shared" si="51"/>
        <v>14500</v>
      </c>
      <c r="K162" s="101">
        <f t="shared" si="51"/>
        <v>3625</v>
      </c>
    </row>
    <row r="163" spans="1:11">
      <c r="A163" s="105" t="s">
        <v>110</v>
      </c>
      <c r="B163" s="41"/>
      <c r="C163" s="95" t="s">
        <v>220</v>
      </c>
      <c r="D163" s="36">
        <f>136970-10441</f>
        <v>126529</v>
      </c>
      <c r="E163" s="36">
        <f>41383-10441</f>
        <v>30942</v>
      </c>
      <c r="F163" s="36"/>
      <c r="G163" s="36"/>
      <c r="H163" s="36"/>
      <c r="I163" s="36">
        <f>4348+4940.74</f>
        <v>9288.74</v>
      </c>
      <c r="J163" s="36">
        <f>D163-I163</f>
        <v>117240.26</v>
      </c>
      <c r="K163" s="36">
        <f>E163-I163</f>
        <v>21653.260000000002</v>
      </c>
    </row>
    <row r="164" spans="1:11">
      <c r="A164" s="105" t="s">
        <v>111</v>
      </c>
      <c r="B164" s="41"/>
      <c r="C164" s="95" t="s">
        <v>221</v>
      </c>
      <c r="D164" s="36">
        <f>51049-3892</f>
        <v>47157</v>
      </c>
      <c r="E164" s="36">
        <f>15422-3892</f>
        <v>11530</v>
      </c>
      <c r="F164" s="36"/>
      <c r="G164" s="36"/>
      <c r="H164" s="36"/>
      <c r="I164" s="36">
        <f>1008+40+1145.36+44.92+3000+40+3000+40-42946.94</f>
        <v>-34628.660000000003</v>
      </c>
      <c r="J164" s="36">
        <f>D164-I164</f>
        <v>81785.66</v>
      </c>
      <c r="K164" s="36">
        <f>E164-I164</f>
        <v>46158.66</v>
      </c>
    </row>
    <row r="165" spans="1:11" s="102" customFormat="1" ht="13.5">
      <c r="A165" s="126" t="s">
        <v>157</v>
      </c>
      <c r="B165" s="99"/>
      <c r="C165" s="42"/>
      <c r="D165" s="101">
        <f t="shared" ref="D165:K165" si="52">SUM(D163:D164)</f>
        <v>173686</v>
      </c>
      <c r="E165" s="101">
        <f>SUM(E163:E164)</f>
        <v>42472</v>
      </c>
      <c r="F165" s="101">
        <f t="shared" si="52"/>
        <v>0</v>
      </c>
      <c r="G165" s="101">
        <f t="shared" si="52"/>
        <v>0</v>
      </c>
      <c r="H165" s="101">
        <f t="shared" si="52"/>
        <v>0</v>
      </c>
      <c r="I165" s="101">
        <f t="shared" si="52"/>
        <v>-25339.920000000006</v>
      </c>
      <c r="J165" s="101">
        <f t="shared" si="52"/>
        <v>199025.91999999998</v>
      </c>
      <c r="K165" s="101">
        <f t="shared" si="52"/>
        <v>67811.920000000013</v>
      </c>
    </row>
    <row r="166" spans="1:11" s="102" customFormat="1" ht="13.5">
      <c r="A166" s="126"/>
      <c r="B166" s="99"/>
      <c r="C166" s="42"/>
      <c r="D166" s="101"/>
      <c r="E166" s="101"/>
      <c r="F166" s="101"/>
      <c r="G166" s="101"/>
      <c r="H166" s="101"/>
      <c r="I166" s="101"/>
      <c r="J166" s="101"/>
      <c r="K166" s="101"/>
    </row>
    <row r="167" spans="1:11">
      <c r="A167" s="94" t="s">
        <v>16</v>
      </c>
      <c r="B167" s="41"/>
      <c r="C167" s="95" t="s">
        <v>222</v>
      </c>
      <c r="D167" s="36">
        <v>16934</v>
      </c>
      <c r="E167" s="36">
        <v>4233</v>
      </c>
      <c r="F167" s="36"/>
      <c r="G167" s="36"/>
      <c r="H167" s="36"/>
      <c r="I167" s="36">
        <v>0</v>
      </c>
      <c r="J167" s="36">
        <f>D167-I167</f>
        <v>16934</v>
      </c>
      <c r="K167" s="36">
        <f>E167-I167</f>
        <v>4233</v>
      </c>
    </row>
    <row r="168" spans="1:11">
      <c r="A168" s="94" t="s">
        <v>19</v>
      </c>
      <c r="B168" s="41"/>
      <c r="C168" s="95" t="s">
        <v>263</v>
      </c>
      <c r="D168" s="36">
        <v>11350</v>
      </c>
      <c r="E168" s="36">
        <v>3000</v>
      </c>
      <c r="F168" s="36"/>
      <c r="G168" s="36"/>
      <c r="H168" s="36"/>
      <c r="I168" s="36">
        <v>0</v>
      </c>
      <c r="J168" s="36">
        <f>D168-I168</f>
        <v>11350</v>
      </c>
      <c r="K168" s="36">
        <f>E168-I168</f>
        <v>3000</v>
      </c>
    </row>
    <row r="169" spans="1:11">
      <c r="A169" s="94"/>
      <c r="B169" s="41"/>
      <c r="C169" s="95"/>
      <c r="D169" s="36"/>
      <c r="E169" s="36"/>
      <c r="F169" s="36"/>
      <c r="G169" s="36"/>
      <c r="H169" s="36"/>
      <c r="I169" s="36"/>
      <c r="J169" s="36"/>
      <c r="K169" s="36"/>
    </row>
    <row r="170" spans="1:11" s="102" customFormat="1" ht="13.5">
      <c r="A170" s="126" t="s">
        <v>148</v>
      </c>
      <c r="B170" s="99"/>
      <c r="C170" s="42"/>
      <c r="D170" s="101">
        <f>D171+D172+D173</f>
        <v>73584</v>
      </c>
      <c r="E170" s="101">
        <f>E171+E172+E173</f>
        <v>22485</v>
      </c>
      <c r="F170" s="101">
        <f t="shared" ref="F170:K170" si="53">F171+F172+F173</f>
        <v>0</v>
      </c>
      <c r="G170" s="101">
        <f t="shared" si="53"/>
        <v>0</v>
      </c>
      <c r="H170" s="101">
        <f t="shared" si="53"/>
        <v>0</v>
      </c>
      <c r="I170" s="101">
        <f t="shared" si="53"/>
        <v>2539.52</v>
      </c>
      <c r="J170" s="101">
        <f t="shared" si="53"/>
        <v>71044.479999999996</v>
      </c>
      <c r="K170" s="101">
        <f t="shared" si="53"/>
        <v>19945.48</v>
      </c>
    </row>
    <row r="171" spans="1:11">
      <c r="A171" s="94" t="s">
        <v>15</v>
      </c>
      <c r="B171" s="41"/>
      <c r="C171" s="95" t="s">
        <v>264</v>
      </c>
      <c r="D171" s="36">
        <v>11948</v>
      </c>
      <c r="E171" s="36">
        <v>2987</v>
      </c>
      <c r="F171" s="36"/>
      <c r="G171" s="36"/>
      <c r="H171" s="36"/>
      <c r="I171" s="36">
        <v>479.52</v>
      </c>
      <c r="J171" s="36">
        <f>D171-I171</f>
        <v>11468.48</v>
      </c>
      <c r="K171" s="36">
        <f>E171-I171</f>
        <v>2507.48</v>
      </c>
    </row>
    <row r="172" spans="1:11">
      <c r="A172" s="94" t="s">
        <v>18</v>
      </c>
      <c r="B172" s="41"/>
      <c r="C172" s="95" t="s">
        <v>223</v>
      </c>
      <c r="D172" s="36">
        <v>3852</v>
      </c>
      <c r="E172" s="36">
        <v>3852</v>
      </c>
      <c r="F172" s="36"/>
      <c r="G172" s="36"/>
      <c r="H172" s="36"/>
      <c r="I172" s="36">
        <v>0</v>
      </c>
      <c r="J172" s="36">
        <f>D172-I172</f>
        <v>3852</v>
      </c>
      <c r="K172" s="36">
        <f>E172-I172</f>
        <v>3852</v>
      </c>
    </row>
    <row r="173" spans="1:11">
      <c r="A173" s="94" t="s">
        <v>19</v>
      </c>
      <c r="B173" s="41"/>
      <c r="C173" s="95" t="s">
        <v>265</v>
      </c>
      <c r="D173" s="36">
        <v>57784</v>
      </c>
      <c r="E173" s="36">
        <v>15646</v>
      </c>
      <c r="F173" s="36"/>
      <c r="G173" s="36"/>
      <c r="H173" s="36"/>
      <c r="I173" s="36">
        <v>2060</v>
      </c>
      <c r="J173" s="36">
        <f>D173-I173</f>
        <v>55724</v>
      </c>
      <c r="K173" s="36">
        <f>E173-I173</f>
        <v>13586</v>
      </c>
    </row>
    <row r="174" spans="1:11" hidden="1">
      <c r="A174" s="94" t="s">
        <v>21</v>
      </c>
      <c r="B174" s="41"/>
      <c r="C174" s="129" t="s">
        <v>36</v>
      </c>
      <c r="D174" s="36"/>
      <c r="E174" s="36"/>
      <c r="F174" s="36"/>
      <c r="G174" s="36"/>
      <c r="H174" s="36"/>
      <c r="I174" s="36"/>
      <c r="J174" s="36">
        <f>D174-I174</f>
        <v>0</v>
      </c>
      <c r="K174" s="36">
        <f>E174-I174</f>
        <v>0</v>
      </c>
    </row>
    <row r="175" spans="1:11">
      <c r="A175" s="69" t="s">
        <v>166</v>
      </c>
      <c r="B175" s="41"/>
      <c r="C175" s="95" t="s">
        <v>224</v>
      </c>
      <c r="D175" s="36">
        <v>9193</v>
      </c>
      <c r="E175" s="36">
        <v>4693</v>
      </c>
      <c r="F175" s="36"/>
      <c r="G175" s="36"/>
      <c r="H175" s="36"/>
      <c r="I175" s="36">
        <v>0</v>
      </c>
      <c r="J175" s="36">
        <f>D175-I175</f>
        <v>9193</v>
      </c>
      <c r="K175" s="36">
        <f>E175-I175</f>
        <v>4693</v>
      </c>
    </row>
    <row r="176" spans="1:11">
      <c r="A176" s="69"/>
      <c r="B176" s="41"/>
      <c r="C176" s="95"/>
      <c r="D176" s="36"/>
      <c r="E176" s="36"/>
      <c r="F176" s="36"/>
      <c r="G176" s="36"/>
      <c r="H176" s="36"/>
      <c r="I176" s="36"/>
      <c r="J176" s="36"/>
      <c r="K176" s="36"/>
    </row>
    <row r="177" spans="1:11" s="79" customFormat="1">
      <c r="A177" s="107" t="s">
        <v>169</v>
      </c>
      <c r="B177" s="78"/>
      <c r="C177" s="106" t="s">
        <v>170</v>
      </c>
      <c r="D177" s="45">
        <f t="shared" ref="D177:K177" si="54">D178+D210</f>
        <v>2208483</v>
      </c>
      <c r="E177" s="45">
        <f>E178+E210</f>
        <v>667361.75</v>
      </c>
      <c r="F177" s="45" t="e">
        <f t="shared" si="54"/>
        <v>#REF!</v>
      </c>
      <c r="G177" s="45" t="e">
        <f t="shared" si="54"/>
        <v>#REF!</v>
      </c>
      <c r="H177" s="45" t="e">
        <f t="shared" si="54"/>
        <v>#REF!</v>
      </c>
      <c r="I177" s="45">
        <f t="shared" si="54"/>
        <v>401014.28999999992</v>
      </c>
      <c r="J177" s="45">
        <f t="shared" si="54"/>
        <v>1807468.71</v>
      </c>
      <c r="K177" s="45">
        <f t="shared" si="54"/>
        <v>266347.46000000002</v>
      </c>
    </row>
    <row r="178" spans="1:11" s="79" customFormat="1" ht="111" customHeight="1">
      <c r="A178" s="137" t="s">
        <v>167</v>
      </c>
      <c r="B178" s="78"/>
      <c r="C178" s="106"/>
      <c r="D178" s="45">
        <f>D179+D189+D198+D200+D202</f>
        <v>1742593</v>
      </c>
      <c r="E178" s="45">
        <f>E179+E189+E198+E200+E202</f>
        <v>546959.24</v>
      </c>
      <c r="F178" s="45">
        <f t="shared" ref="F178:K178" si="55">F179+F189+F198+F200+F202</f>
        <v>1874</v>
      </c>
      <c r="G178" s="45">
        <f t="shared" si="55"/>
        <v>0</v>
      </c>
      <c r="H178" s="45">
        <f t="shared" si="55"/>
        <v>0</v>
      </c>
      <c r="I178" s="45">
        <f t="shared" si="55"/>
        <v>334218.16999999993</v>
      </c>
      <c r="J178" s="45">
        <f t="shared" si="55"/>
        <v>1408374.83</v>
      </c>
      <c r="K178" s="45">
        <f t="shared" si="55"/>
        <v>212741.07</v>
      </c>
    </row>
    <row r="179" spans="1:11" s="40" customFormat="1" ht="26.25">
      <c r="A179" s="69" t="s">
        <v>156</v>
      </c>
      <c r="B179" s="39"/>
      <c r="C179" s="27"/>
      <c r="D179" s="28">
        <f>D180+D185+D188</f>
        <v>1038940</v>
      </c>
      <c r="E179" s="28">
        <f>E180+E185+E188</f>
        <v>241196</v>
      </c>
      <c r="F179" s="28">
        <f t="shared" ref="F179:K179" si="56">F180+F185+F188</f>
        <v>1874</v>
      </c>
      <c r="G179" s="28">
        <f t="shared" si="56"/>
        <v>0</v>
      </c>
      <c r="H179" s="28">
        <f t="shared" si="56"/>
        <v>0</v>
      </c>
      <c r="I179" s="28">
        <f t="shared" si="56"/>
        <v>151333.22999999998</v>
      </c>
      <c r="J179" s="28">
        <f t="shared" si="56"/>
        <v>887606.77</v>
      </c>
      <c r="K179" s="28">
        <f t="shared" si="56"/>
        <v>89862.77</v>
      </c>
    </row>
    <row r="180" spans="1:11" ht="13.5">
      <c r="A180" s="94" t="s">
        <v>25</v>
      </c>
      <c r="B180" s="99"/>
      <c r="C180" s="95" t="s">
        <v>226</v>
      </c>
      <c r="D180" s="36">
        <v>795076</v>
      </c>
      <c r="E180" s="36">
        <v>184482</v>
      </c>
      <c r="F180" s="36"/>
      <c r="G180" s="36"/>
      <c r="H180" s="36"/>
      <c r="I180" s="36">
        <v>116231.11</v>
      </c>
      <c r="J180" s="36">
        <f>D180-I180</f>
        <v>678844.89</v>
      </c>
      <c r="K180" s="36">
        <f>E180-I180</f>
        <v>68250.89</v>
      </c>
    </row>
    <row r="181" spans="1:11" ht="38.25" hidden="1">
      <c r="A181" s="94" t="s">
        <v>26</v>
      </c>
      <c r="B181" s="41"/>
      <c r="C181" s="95" t="s">
        <v>109</v>
      </c>
      <c r="D181" s="36"/>
      <c r="E181" s="36"/>
      <c r="F181" s="36"/>
      <c r="G181" s="36"/>
      <c r="H181" s="36"/>
      <c r="I181" s="36"/>
      <c r="J181" s="36">
        <f>D181-I181</f>
        <v>0</v>
      </c>
      <c r="K181" s="36">
        <f>E181-I181</f>
        <v>0</v>
      </c>
    </row>
    <row r="182" spans="1:11" ht="38.25">
      <c r="A182" s="94" t="s">
        <v>26</v>
      </c>
      <c r="B182" s="41"/>
      <c r="C182" s="95" t="s">
        <v>225</v>
      </c>
      <c r="D182" s="36">
        <f>2000-2000</f>
        <v>0</v>
      </c>
      <c r="E182" s="36">
        <f>2000-2000</f>
        <v>0</v>
      </c>
      <c r="F182" s="36"/>
      <c r="G182" s="36"/>
      <c r="H182" s="36"/>
      <c r="I182" s="36">
        <v>0</v>
      </c>
      <c r="J182" s="36">
        <f>D182-I182</f>
        <v>0</v>
      </c>
      <c r="K182" s="36">
        <f>E182-I182</f>
        <v>0</v>
      </c>
    </row>
    <row r="183" spans="1:11" ht="38.25">
      <c r="A183" s="94" t="s">
        <v>27</v>
      </c>
      <c r="B183" s="41"/>
      <c r="C183" s="95" t="s">
        <v>227</v>
      </c>
      <c r="D183" s="36">
        <v>3750</v>
      </c>
      <c r="E183" s="36">
        <v>1000</v>
      </c>
      <c r="F183" s="36">
        <v>937</v>
      </c>
      <c r="G183" s="36"/>
      <c r="H183" s="36"/>
      <c r="I183" s="36">
        <v>0</v>
      </c>
      <c r="J183" s="36">
        <f t="shared" ref="J183:J194" si="57">D183-I183</f>
        <v>3750</v>
      </c>
      <c r="K183" s="36">
        <f t="shared" ref="K183:K194" si="58">E183-I183</f>
        <v>1000</v>
      </c>
    </row>
    <row r="184" spans="1:11" hidden="1">
      <c r="A184" s="94" t="s">
        <v>128</v>
      </c>
      <c r="B184" s="41"/>
      <c r="C184" s="95" t="s">
        <v>134</v>
      </c>
      <c r="D184" s="36">
        <v>0</v>
      </c>
      <c r="E184" s="36">
        <v>0</v>
      </c>
      <c r="F184" s="36">
        <v>937</v>
      </c>
      <c r="G184" s="36"/>
      <c r="H184" s="36"/>
      <c r="I184" s="36">
        <v>0</v>
      </c>
      <c r="J184" s="36">
        <f>D184-I184</f>
        <v>0</v>
      </c>
      <c r="K184" s="36">
        <f>E184-I184</f>
        <v>0</v>
      </c>
    </row>
    <row r="185" spans="1:11" s="102" customFormat="1" ht="13.5">
      <c r="A185" s="103" t="s">
        <v>158</v>
      </c>
      <c r="B185" s="99"/>
      <c r="C185" s="42"/>
      <c r="D185" s="101">
        <f>SUM(D181:D184)</f>
        <v>3750</v>
      </c>
      <c r="E185" s="101">
        <f>SUM(E181:E184)</f>
        <v>1000</v>
      </c>
      <c r="F185" s="101">
        <f t="shared" ref="F185:K185" si="59">SUM(F181:F184)</f>
        <v>1874</v>
      </c>
      <c r="G185" s="101">
        <f t="shared" si="59"/>
        <v>0</v>
      </c>
      <c r="H185" s="101">
        <f t="shared" si="59"/>
        <v>0</v>
      </c>
      <c r="I185" s="101">
        <f t="shared" si="59"/>
        <v>0</v>
      </c>
      <c r="J185" s="101">
        <f t="shared" si="59"/>
        <v>3750</v>
      </c>
      <c r="K185" s="101">
        <f t="shared" si="59"/>
        <v>1000</v>
      </c>
    </row>
    <row r="186" spans="1:11">
      <c r="A186" s="108" t="s">
        <v>110</v>
      </c>
      <c r="B186" s="41"/>
      <c r="C186" s="95" t="s">
        <v>228</v>
      </c>
      <c r="D186" s="36">
        <v>174917</v>
      </c>
      <c r="E186" s="36">
        <v>40586</v>
      </c>
      <c r="F186" s="36"/>
      <c r="G186" s="36"/>
      <c r="H186" s="36"/>
      <c r="I186" s="36">
        <v>25570.94</v>
      </c>
      <c r="J186" s="36">
        <f t="shared" si="57"/>
        <v>149346.06</v>
      </c>
      <c r="K186" s="36">
        <f t="shared" si="58"/>
        <v>15015.060000000001</v>
      </c>
    </row>
    <row r="187" spans="1:11">
      <c r="A187" s="108" t="s">
        <v>111</v>
      </c>
      <c r="B187" s="41"/>
      <c r="C187" s="95" t="s">
        <v>229</v>
      </c>
      <c r="D187" s="36">
        <v>65197</v>
      </c>
      <c r="E187" s="36">
        <v>15128</v>
      </c>
      <c r="F187" s="36"/>
      <c r="G187" s="36"/>
      <c r="H187" s="36"/>
      <c r="I187" s="36">
        <v>9531.18</v>
      </c>
      <c r="J187" s="36">
        <f t="shared" si="57"/>
        <v>55665.82</v>
      </c>
      <c r="K187" s="36">
        <f t="shared" si="58"/>
        <v>5596.82</v>
      </c>
    </row>
    <row r="188" spans="1:11" s="102" customFormat="1" ht="13.5">
      <c r="A188" s="69" t="s">
        <v>157</v>
      </c>
      <c r="B188" s="99"/>
      <c r="C188" s="42"/>
      <c r="D188" s="101">
        <f t="shared" ref="D188:K188" si="60">SUM(D186:D187)</f>
        <v>240114</v>
      </c>
      <c r="E188" s="101">
        <f>SUM(E186:E187)</f>
        <v>55714</v>
      </c>
      <c r="F188" s="101">
        <f t="shared" si="60"/>
        <v>0</v>
      </c>
      <c r="G188" s="101">
        <f t="shared" si="60"/>
        <v>0</v>
      </c>
      <c r="H188" s="101">
        <f t="shared" si="60"/>
        <v>0</v>
      </c>
      <c r="I188" s="101">
        <f t="shared" si="60"/>
        <v>35102.119999999995</v>
      </c>
      <c r="J188" s="101">
        <f t="shared" si="60"/>
        <v>205011.88</v>
      </c>
      <c r="K188" s="101">
        <f t="shared" si="60"/>
        <v>20611.88</v>
      </c>
    </row>
    <row r="189" spans="1:11" s="102" customFormat="1" ht="13.5">
      <c r="A189" s="69" t="s">
        <v>148</v>
      </c>
      <c r="B189" s="99"/>
      <c r="C189" s="42"/>
      <c r="D189" s="101">
        <f>D190+D191+D195+D196+D197</f>
        <v>665342</v>
      </c>
      <c r="E189" s="101">
        <f>E190+E191+E195+E196+E197</f>
        <v>283022.24</v>
      </c>
      <c r="F189" s="101">
        <f t="shared" ref="F189:K189" si="61">F190+F191+F195+F196+F197</f>
        <v>0</v>
      </c>
      <c r="G189" s="101">
        <f t="shared" si="61"/>
        <v>0</v>
      </c>
      <c r="H189" s="101">
        <f t="shared" si="61"/>
        <v>0</v>
      </c>
      <c r="I189" s="101">
        <f t="shared" si="61"/>
        <v>182884.93999999997</v>
      </c>
      <c r="J189" s="101">
        <f t="shared" si="61"/>
        <v>482457.06000000006</v>
      </c>
      <c r="K189" s="101">
        <f t="shared" si="61"/>
        <v>100137.30000000002</v>
      </c>
    </row>
    <row r="190" spans="1:11">
      <c r="A190" s="94" t="s">
        <v>15</v>
      </c>
      <c r="B190" s="41"/>
      <c r="C190" s="95" t="s">
        <v>230</v>
      </c>
      <c r="D190" s="36">
        <v>8148</v>
      </c>
      <c r="E190" s="36">
        <v>2037</v>
      </c>
      <c r="F190" s="36"/>
      <c r="G190" s="36"/>
      <c r="H190" s="36"/>
      <c r="I190" s="36">
        <v>1100.3699999999999</v>
      </c>
      <c r="J190" s="36">
        <f t="shared" si="57"/>
        <v>7047.63</v>
      </c>
      <c r="K190" s="36">
        <f t="shared" si="58"/>
        <v>936.63000000000011</v>
      </c>
    </row>
    <row r="191" spans="1:11">
      <c r="A191" s="94" t="s">
        <v>16</v>
      </c>
      <c r="B191" s="41"/>
      <c r="C191" s="95" t="s">
        <v>231</v>
      </c>
      <c r="D191" s="36">
        <v>5115</v>
      </c>
      <c r="E191" s="36">
        <v>0</v>
      </c>
      <c r="F191" s="36"/>
      <c r="G191" s="36"/>
      <c r="H191" s="36"/>
      <c r="I191" s="36">
        <v>0</v>
      </c>
      <c r="J191" s="36">
        <f>D191-I191</f>
        <v>5115</v>
      </c>
      <c r="K191" s="36">
        <f>E191-I191</f>
        <v>0</v>
      </c>
    </row>
    <row r="192" spans="1:11">
      <c r="A192" s="94" t="s">
        <v>32</v>
      </c>
      <c r="B192" s="41"/>
      <c r="C192" s="95" t="s">
        <v>232</v>
      </c>
      <c r="D192" s="36">
        <v>567624</v>
      </c>
      <c r="E192" s="36">
        <f>221755+35603.66</f>
        <v>257358.66</v>
      </c>
      <c r="F192" s="36"/>
      <c r="G192" s="36"/>
      <c r="H192" s="36"/>
      <c r="I192" s="36">
        <v>175026.71</v>
      </c>
      <c r="J192" s="36">
        <f t="shared" si="57"/>
        <v>392597.29000000004</v>
      </c>
      <c r="K192" s="36">
        <f t="shared" si="58"/>
        <v>82331.950000000012</v>
      </c>
    </row>
    <row r="193" spans="1:11">
      <c r="A193" s="94" t="s">
        <v>28</v>
      </c>
      <c r="B193" s="41"/>
      <c r="C193" s="95" t="s">
        <v>233</v>
      </c>
      <c r="D193" s="36">
        <v>27000</v>
      </c>
      <c r="E193" s="36">
        <f>6750+2512.58</f>
        <v>9262.58</v>
      </c>
      <c r="F193" s="36"/>
      <c r="G193" s="36"/>
      <c r="H193" s="36"/>
      <c r="I193" s="36">
        <v>6190.36</v>
      </c>
      <c r="J193" s="36">
        <f t="shared" si="57"/>
        <v>20809.64</v>
      </c>
      <c r="K193" s="36">
        <f t="shared" si="58"/>
        <v>3072.2200000000003</v>
      </c>
    </row>
    <row r="194" spans="1:11">
      <c r="A194" s="94" t="s">
        <v>29</v>
      </c>
      <c r="B194" s="41"/>
      <c r="C194" s="95" t="s">
        <v>234</v>
      </c>
      <c r="D194" s="36">
        <v>7765</v>
      </c>
      <c r="E194" s="36">
        <v>1941</v>
      </c>
      <c r="F194" s="36"/>
      <c r="G194" s="36"/>
      <c r="H194" s="36"/>
      <c r="I194" s="36">
        <v>567.5</v>
      </c>
      <c r="J194" s="36">
        <f t="shared" si="57"/>
        <v>7197.5</v>
      </c>
      <c r="K194" s="36">
        <f t="shared" si="58"/>
        <v>1373.5</v>
      </c>
    </row>
    <row r="195" spans="1:11" s="102" customFormat="1" ht="13.5">
      <c r="A195" s="69" t="s">
        <v>17</v>
      </c>
      <c r="B195" s="99"/>
      <c r="C195" s="42"/>
      <c r="D195" s="101">
        <f t="shared" ref="D195:K195" si="62">SUM(D192:D194)</f>
        <v>602389</v>
      </c>
      <c r="E195" s="101">
        <f>SUM(E192:E194)</f>
        <v>268562.24</v>
      </c>
      <c r="F195" s="101">
        <f t="shared" si="62"/>
        <v>0</v>
      </c>
      <c r="G195" s="101">
        <f t="shared" si="62"/>
        <v>0</v>
      </c>
      <c r="H195" s="101">
        <f t="shared" si="62"/>
        <v>0</v>
      </c>
      <c r="I195" s="101">
        <f t="shared" si="62"/>
        <v>181784.56999999998</v>
      </c>
      <c r="J195" s="101">
        <f t="shared" si="62"/>
        <v>420604.43000000005</v>
      </c>
      <c r="K195" s="101">
        <f t="shared" si="62"/>
        <v>86777.670000000013</v>
      </c>
    </row>
    <row r="196" spans="1:11">
      <c r="A196" s="94" t="s">
        <v>18</v>
      </c>
      <c r="B196" s="41"/>
      <c r="C196" s="95" t="s">
        <v>235</v>
      </c>
      <c r="D196" s="36">
        <v>45133</v>
      </c>
      <c r="E196" s="36">
        <v>11283</v>
      </c>
      <c r="F196" s="36"/>
      <c r="G196" s="36"/>
      <c r="H196" s="36"/>
      <c r="I196" s="36">
        <v>0</v>
      </c>
      <c r="J196" s="36">
        <f>D196-I196</f>
        <v>45133</v>
      </c>
      <c r="K196" s="36">
        <f>E196-I196</f>
        <v>11283</v>
      </c>
    </row>
    <row r="197" spans="1:11">
      <c r="A197" s="94" t="s">
        <v>19</v>
      </c>
      <c r="B197" s="41"/>
      <c r="C197" s="95" t="s">
        <v>236</v>
      </c>
      <c r="D197" s="36">
        <v>4557</v>
      </c>
      <c r="E197" s="36">
        <v>1140</v>
      </c>
      <c r="F197" s="36"/>
      <c r="G197" s="36"/>
      <c r="H197" s="36"/>
      <c r="I197" s="36">
        <v>0</v>
      </c>
      <c r="J197" s="36">
        <f>D197-I197</f>
        <v>4557</v>
      </c>
      <c r="K197" s="36">
        <f>E197-I197</f>
        <v>1140</v>
      </c>
    </row>
    <row r="198" spans="1:11">
      <c r="A198" s="94" t="s">
        <v>20</v>
      </c>
      <c r="B198" s="41"/>
      <c r="C198" s="95" t="s">
        <v>237</v>
      </c>
      <c r="D198" s="36">
        <v>9670</v>
      </c>
      <c r="E198" s="36">
        <v>400</v>
      </c>
      <c r="F198" s="36"/>
      <c r="G198" s="36"/>
      <c r="H198" s="36"/>
      <c r="I198" s="36">
        <v>0</v>
      </c>
      <c r="J198" s="36">
        <f>D198-I198</f>
        <v>9670</v>
      </c>
      <c r="K198" s="36">
        <f>E198-I198</f>
        <v>400</v>
      </c>
    </row>
    <row r="199" spans="1:11" hidden="1">
      <c r="A199" s="126" t="s">
        <v>21</v>
      </c>
      <c r="B199" s="41"/>
      <c r="C199" s="95" t="s">
        <v>135</v>
      </c>
      <c r="D199" s="36"/>
      <c r="E199" s="36"/>
      <c r="F199" s="36"/>
      <c r="G199" s="36"/>
      <c r="H199" s="36"/>
      <c r="I199" s="36"/>
      <c r="J199" s="36">
        <f>D199-I199</f>
        <v>0</v>
      </c>
      <c r="K199" s="36">
        <f>E199-I199</f>
        <v>0</v>
      </c>
    </row>
    <row r="200" spans="1:11">
      <c r="A200" s="69" t="s">
        <v>166</v>
      </c>
      <c r="B200" s="41"/>
      <c r="C200" s="95" t="s">
        <v>238</v>
      </c>
      <c r="D200" s="36">
        <v>8437</v>
      </c>
      <c r="E200" s="36">
        <v>2137</v>
      </c>
      <c r="F200" s="36"/>
      <c r="G200" s="36"/>
      <c r="H200" s="36"/>
      <c r="I200" s="36">
        <v>0</v>
      </c>
      <c r="J200" s="36">
        <f>D200-I200</f>
        <v>8437</v>
      </c>
      <c r="K200" s="36">
        <f>E200-I200</f>
        <v>2137</v>
      </c>
    </row>
    <row r="201" spans="1:11">
      <c r="A201" s="69"/>
      <c r="B201" s="41"/>
      <c r="C201" s="95"/>
      <c r="D201" s="36"/>
      <c r="E201" s="36"/>
      <c r="F201" s="36"/>
      <c r="G201" s="36"/>
      <c r="H201" s="36"/>
      <c r="I201" s="36"/>
      <c r="J201" s="36"/>
      <c r="K201" s="36"/>
    </row>
    <row r="202" spans="1:11" s="40" customFormat="1" ht="13.5">
      <c r="A202" s="138" t="s">
        <v>280</v>
      </c>
      <c r="B202" s="39"/>
      <c r="C202" s="27"/>
      <c r="D202" s="28">
        <f>D203+D206</f>
        <v>20204</v>
      </c>
      <c r="E202" s="28">
        <f>E203+E206</f>
        <v>20204</v>
      </c>
      <c r="F202" s="28">
        <f t="shared" ref="F202:K202" si="63">F203+F206</f>
        <v>0</v>
      </c>
      <c r="G202" s="28">
        <f t="shared" si="63"/>
        <v>0</v>
      </c>
      <c r="H202" s="28">
        <f t="shared" si="63"/>
        <v>0</v>
      </c>
      <c r="I202" s="28">
        <f t="shared" si="63"/>
        <v>0</v>
      </c>
      <c r="J202" s="28">
        <f t="shared" si="63"/>
        <v>20204</v>
      </c>
      <c r="K202" s="28">
        <f t="shared" si="63"/>
        <v>20204</v>
      </c>
    </row>
    <row r="203" spans="1:11" ht="13.5">
      <c r="A203" s="94" t="s">
        <v>25</v>
      </c>
      <c r="B203" s="99"/>
      <c r="C203" s="95" t="s">
        <v>276</v>
      </c>
      <c r="D203" s="36">
        <v>15518</v>
      </c>
      <c r="E203" s="36">
        <v>15518</v>
      </c>
      <c r="F203" s="36"/>
      <c r="G203" s="36"/>
      <c r="H203" s="36"/>
      <c r="I203" s="36">
        <v>0</v>
      </c>
      <c r="J203" s="36">
        <f>D203-I203</f>
        <v>15518</v>
      </c>
      <c r="K203" s="36">
        <f>E203-I203</f>
        <v>15518</v>
      </c>
    </row>
    <row r="204" spans="1:11">
      <c r="A204" s="108" t="s">
        <v>110</v>
      </c>
      <c r="B204" s="41"/>
      <c r="C204" s="95" t="s">
        <v>277</v>
      </c>
      <c r="D204" s="36">
        <v>3414</v>
      </c>
      <c r="E204" s="36">
        <v>3414</v>
      </c>
      <c r="F204" s="36"/>
      <c r="G204" s="36"/>
      <c r="H204" s="36"/>
      <c r="I204" s="36">
        <v>0</v>
      </c>
      <c r="J204" s="36">
        <f>D204-I204</f>
        <v>3414</v>
      </c>
      <c r="K204" s="36">
        <f>E204-I204</f>
        <v>3414</v>
      </c>
    </row>
    <row r="205" spans="1:11">
      <c r="A205" s="108" t="s">
        <v>111</v>
      </c>
      <c r="B205" s="41"/>
      <c r="C205" s="95" t="s">
        <v>278</v>
      </c>
      <c r="D205" s="36">
        <v>1272</v>
      </c>
      <c r="E205" s="36">
        <v>1272</v>
      </c>
      <c r="F205" s="36"/>
      <c r="G205" s="36"/>
      <c r="H205" s="36"/>
      <c r="I205" s="36">
        <v>0</v>
      </c>
      <c r="J205" s="36">
        <f>D205-I205</f>
        <v>1272</v>
      </c>
      <c r="K205" s="36">
        <f>E205-I205</f>
        <v>1272</v>
      </c>
    </row>
    <row r="206" spans="1:11" s="40" customFormat="1" ht="13.5">
      <c r="A206" s="69" t="s">
        <v>157</v>
      </c>
      <c r="B206" s="99"/>
      <c r="C206" s="42"/>
      <c r="D206" s="28">
        <f>SUM(D204:D205)</f>
        <v>4686</v>
      </c>
      <c r="E206" s="28">
        <f>SUM(E204:E205)</f>
        <v>4686</v>
      </c>
      <c r="F206" s="28">
        <f t="shared" ref="F206:K206" si="64">SUM(F204:F205)</f>
        <v>0</v>
      </c>
      <c r="G206" s="28">
        <f t="shared" si="64"/>
        <v>0</v>
      </c>
      <c r="H206" s="28">
        <f t="shared" si="64"/>
        <v>0</v>
      </c>
      <c r="I206" s="28">
        <f t="shared" si="64"/>
        <v>0</v>
      </c>
      <c r="J206" s="28">
        <f t="shared" si="64"/>
        <v>4686</v>
      </c>
      <c r="K206" s="28">
        <f t="shared" si="64"/>
        <v>4686</v>
      </c>
    </row>
    <row r="207" spans="1:11" hidden="1">
      <c r="A207" s="108" t="s">
        <v>111</v>
      </c>
      <c r="B207" s="41"/>
      <c r="C207" s="95" t="s">
        <v>275</v>
      </c>
      <c r="D207" s="36">
        <v>1272</v>
      </c>
      <c r="E207" s="36">
        <v>1272</v>
      </c>
      <c r="F207" s="36"/>
      <c r="G207" s="36"/>
      <c r="H207" s="36"/>
      <c r="I207" s="36"/>
      <c r="J207" s="36">
        <f>D207-I207</f>
        <v>1272</v>
      </c>
      <c r="K207" s="36">
        <f>E207-I207</f>
        <v>1272</v>
      </c>
    </row>
    <row r="208" spans="1:11" s="102" customFormat="1" ht="13.5" hidden="1">
      <c r="A208" s="69" t="s">
        <v>157</v>
      </c>
      <c r="B208" s="99"/>
      <c r="C208" s="42"/>
      <c r="D208" s="101">
        <f t="shared" ref="D208:K208" si="65">SUM(D206:D207)</f>
        <v>5958</v>
      </c>
      <c r="E208" s="101">
        <f>SUM(E206:E207)</f>
        <v>5958</v>
      </c>
      <c r="F208" s="101">
        <f t="shared" si="65"/>
        <v>0</v>
      </c>
      <c r="G208" s="101">
        <f t="shared" si="65"/>
        <v>0</v>
      </c>
      <c r="H208" s="101">
        <f t="shared" si="65"/>
        <v>0</v>
      </c>
      <c r="I208" s="101">
        <f t="shared" si="65"/>
        <v>0</v>
      </c>
      <c r="J208" s="101">
        <f t="shared" si="65"/>
        <v>5958</v>
      </c>
      <c r="K208" s="101">
        <f t="shared" si="65"/>
        <v>5958</v>
      </c>
    </row>
    <row r="209" spans="1:11" s="79" customFormat="1">
      <c r="A209" s="114"/>
      <c r="B209" s="78"/>
      <c r="C209" s="106"/>
      <c r="D209" s="45"/>
      <c r="E209" s="45"/>
      <c r="F209" s="45"/>
      <c r="G209" s="45"/>
      <c r="H209" s="45"/>
      <c r="I209" s="45"/>
      <c r="J209" s="45"/>
      <c r="K209" s="45"/>
    </row>
    <row r="210" spans="1:11" s="79" customFormat="1" ht="115.5" customHeight="1">
      <c r="A210" s="137" t="s">
        <v>168</v>
      </c>
      <c r="B210" s="78"/>
      <c r="C210" s="106"/>
      <c r="D210" s="45">
        <f>D211+D219+D225+D227+D229</f>
        <v>465890</v>
      </c>
      <c r="E210" s="45">
        <f>E211+E219+E225+E227+E229</f>
        <v>120402.51000000001</v>
      </c>
      <c r="F210" s="45" t="e">
        <f t="shared" ref="F210:K210" si="66">F211+F219+F225+F227+F229</f>
        <v>#REF!</v>
      </c>
      <c r="G210" s="45" t="e">
        <f t="shared" si="66"/>
        <v>#REF!</v>
      </c>
      <c r="H210" s="45" t="e">
        <f t="shared" si="66"/>
        <v>#REF!</v>
      </c>
      <c r="I210" s="45">
        <f>I211+I219+I225+I227+I229</f>
        <v>66796.12</v>
      </c>
      <c r="J210" s="45">
        <f t="shared" si="66"/>
        <v>399093.88</v>
      </c>
      <c r="K210" s="45">
        <f t="shared" si="66"/>
        <v>53606.39</v>
      </c>
    </row>
    <row r="211" spans="1:11" ht="25.5">
      <c r="A211" s="69" t="s">
        <v>156</v>
      </c>
      <c r="B211" s="41"/>
      <c r="C211" s="95"/>
      <c r="D211" s="139">
        <f>D212+D215+D218</f>
        <v>436726</v>
      </c>
      <c r="E211" s="139">
        <f>E212+E215+E218</f>
        <v>106031.51000000001</v>
      </c>
      <c r="F211" s="139" t="e">
        <f t="shared" ref="F211:K211" si="67">F212+F215+F218</f>
        <v>#REF!</v>
      </c>
      <c r="G211" s="139" t="e">
        <f t="shared" si="67"/>
        <v>#REF!</v>
      </c>
      <c r="H211" s="139" t="e">
        <f t="shared" si="67"/>
        <v>#REF!</v>
      </c>
      <c r="I211" s="139">
        <f t="shared" si="67"/>
        <v>66796.12</v>
      </c>
      <c r="J211" s="139">
        <f t="shared" si="67"/>
        <v>369929.88</v>
      </c>
      <c r="K211" s="139">
        <f t="shared" si="67"/>
        <v>39235.39</v>
      </c>
    </row>
    <row r="212" spans="1:11" ht="13.5">
      <c r="A212" s="94" t="s">
        <v>25</v>
      </c>
      <c r="B212" s="99"/>
      <c r="C212" s="95" t="s">
        <v>239</v>
      </c>
      <c r="D212" s="36">
        <v>333714</v>
      </c>
      <c r="E212" s="36">
        <f>76555+2852.58</f>
        <v>79407.58</v>
      </c>
      <c r="F212" s="36" t="e">
        <f>#REF!+#REF!+#REF!+#REF!+#REF!+#REF!+#REF!</f>
        <v>#REF!</v>
      </c>
      <c r="G212" s="36" t="e">
        <f>#REF!+#REF!+#REF!+#REF!+#REF!+#REF!+#REF!</f>
        <v>#REF!</v>
      </c>
      <c r="H212" s="36" t="e">
        <f>#REF!+#REF!+#REF!+#REF!+#REF!+#REF!+#REF!</f>
        <v>#REF!</v>
      </c>
      <c r="I212" s="36">
        <v>51302.83</v>
      </c>
      <c r="J212" s="36">
        <f>D212-I212</f>
        <v>282411.17</v>
      </c>
      <c r="K212" s="36">
        <f>E212-I212</f>
        <v>28104.75</v>
      </c>
    </row>
    <row r="213" spans="1:11" ht="38.25">
      <c r="A213" s="94" t="s">
        <v>26</v>
      </c>
      <c r="B213" s="41"/>
      <c r="C213" s="95" t="s">
        <v>240</v>
      </c>
      <c r="D213" s="36">
        <v>0</v>
      </c>
      <c r="E213" s="36">
        <v>0</v>
      </c>
      <c r="F213" s="36" t="e">
        <f>#REF!</f>
        <v>#REF!</v>
      </c>
      <c r="G213" s="36" t="e">
        <f>#REF!</f>
        <v>#REF!</v>
      </c>
      <c r="H213" s="36" t="e">
        <f>#REF!</f>
        <v>#REF!</v>
      </c>
      <c r="I213" s="36">
        <v>0</v>
      </c>
      <c r="J213" s="36">
        <f>D213-I213</f>
        <v>0</v>
      </c>
      <c r="K213" s="36">
        <f>E213-I213</f>
        <v>0</v>
      </c>
    </row>
    <row r="214" spans="1:11" ht="38.25">
      <c r="A214" s="94" t="s">
        <v>27</v>
      </c>
      <c r="B214" s="41"/>
      <c r="C214" s="95" t="s">
        <v>241</v>
      </c>
      <c r="D214" s="36">
        <v>2000</v>
      </c>
      <c r="E214" s="36">
        <v>500</v>
      </c>
      <c r="F214" s="36" t="e">
        <f>#REF!</f>
        <v>#REF!</v>
      </c>
      <c r="G214" s="36" t="e">
        <f>#REF!</f>
        <v>#REF!</v>
      </c>
      <c r="H214" s="36" t="e">
        <f>#REF!</f>
        <v>#REF!</v>
      </c>
      <c r="I214" s="36">
        <v>0</v>
      </c>
      <c r="J214" s="36">
        <f>D214-I214</f>
        <v>2000</v>
      </c>
      <c r="K214" s="36">
        <f>E214-I214</f>
        <v>500</v>
      </c>
    </row>
    <row r="215" spans="1:11" s="140" customFormat="1" ht="13.5">
      <c r="A215" s="103" t="s">
        <v>158</v>
      </c>
      <c r="B215" s="99"/>
      <c r="C215" s="42"/>
      <c r="D215" s="28">
        <f>SUM(D213:D214)</f>
        <v>2000</v>
      </c>
      <c r="E215" s="28">
        <f>SUM(E213:E214)</f>
        <v>500</v>
      </c>
      <c r="F215" s="28" t="e">
        <f t="shared" ref="F215:K215" si="68">SUM(F213:F214)</f>
        <v>#REF!</v>
      </c>
      <c r="G215" s="28" t="e">
        <f t="shared" si="68"/>
        <v>#REF!</v>
      </c>
      <c r="H215" s="28" t="e">
        <f t="shared" si="68"/>
        <v>#REF!</v>
      </c>
      <c r="I215" s="28">
        <f t="shared" si="68"/>
        <v>0</v>
      </c>
      <c r="J215" s="28">
        <f t="shared" si="68"/>
        <v>2000</v>
      </c>
      <c r="K215" s="28">
        <f t="shared" si="68"/>
        <v>500</v>
      </c>
    </row>
    <row r="216" spans="1:11">
      <c r="A216" s="108" t="s">
        <v>110</v>
      </c>
      <c r="B216" s="41"/>
      <c r="C216" s="95" t="s">
        <v>242</v>
      </c>
      <c r="D216" s="36">
        <v>73495</v>
      </c>
      <c r="E216" s="36">
        <f>16920+550.21</f>
        <v>17470.21</v>
      </c>
      <c r="F216" s="36" t="e">
        <f>#REF!+#REF!+#REF!+#REF!+#REF!+#REF!</f>
        <v>#REF!</v>
      </c>
      <c r="G216" s="36" t="e">
        <f>#REF!+#REF!+#REF!+#REF!+#REF!+#REF!</f>
        <v>#REF!</v>
      </c>
      <c r="H216" s="36" t="e">
        <f>#REF!+#REF!+#REF!+#REF!+#REF!+#REF!</f>
        <v>#REF!</v>
      </c>
      <c r="I216" s="36">
        <v>11287.16</v>
      </c>
      <c r="J216" s="36">
        <f>D216-I216</f>
        <v>62207.839999999997</v>
      </c>
      <c r="K216" s="36">
        <f>E216-I216</f>
        <v>6183.0499999999993</v>
      </c>
    </row>
    <row r="217" spans="1:11">
      <c r="A217" s="108" t="s">
        <v>111</v>
      </c>
      <c r="B217" s="41"/>
      <c r="C217" s="95" t="s">
        <v>243</v>
      </c>
      <c r="D217" s="36">
        <v>27517</v>
      </c>
      <c r="E217" s="36">
        <f>6431+2222.72</f>
        <v>8653.7199999999993</v>
      </c>
      <c r="F217" s="36" t="e">
        <f>#REF!+#REF!+#REF!+#REF!+#REF!+#REF!</f>
        <v>#REF!</v>
      </c>
      <c r="G217" s="36" t="e">
        <f>#REF!+#REF!+#REF!+#REF!+#REF!+#REF!</f>
        <v>#REF!</v>
      </c>
      <c r="H217" s="36" t="e">
        <f>#REF!+#REF!+#REF!+#REF!+#REF!+#REF!</f>
        <v>#REF!</v>
      </c>
      <c r="I217" s="36">
        <v>4206.13</v>
      </c>
      <c r="J217" s="36">
        <f>D217-I217</f>
        <v>23310.87</v>
      </c>
      <c r="K217" s="36">
        <f>E217-I217</f>
        <v>4447.5899999999992</v>
      </c>
    </row>
    <row r="218" spans="1:11" s="40" customFormat="1" ht="13.5">
      <c r="A218" s="69" t="s">
        <v>157</v>
      </c>
      <c r="B218" s="99"/>
      <c r="C218" s="42"/>
      <c r="D218" s="28">
        <f>SUM(D216:D217)</f>
        <v>101012</v>
      </c>
      <c r="E218" s="28">
        <f>SUM(E216:E217)</f>
        <v>26123.93</v>
      </c>
      <c r="F218" s="28" t="e">
        <f t="shared" ref="F218:K218" si="69">SUM(F216:F217)</f>
        <v>#REF!</v>
      </c>
      <c r="G218" s="28" t="e">
        <f t="shared" si="69"/>
        <v>#REF!</v>
      </c>
      <c r="H218" s="28" t="e">
        <f t="shared" si="69"/>
        <v>#REF!</v>
      </c>
      <c r="I218" s="28">
        <f t="shared" si="69"/>
        <v>15493.29</v>
      </c>
      <c r="J218" s="28">
        <f t="shared" si="69"/>
        <v>85518.709999999992</v>
      </c>
      <c r="K218" s="28">
        <f t="shared" si="69"/>
        <v>10630.64</v>
      </c>
    </row>
    <row r="219" spans="1:11" s="40" customFormat="1" ht="13.5">
      <c r="A219" s="69" t="s">
        <v>148</v>
      </c>
      <c r="B219" s="99"/>
      <c r="C219" s="42"/>
      <c r="D219" s="28">
        <f t="shared" ref="D219:K219" si="70">D220+D221+D224+D223</f>
        <v>9922</v>
      </c>
      <c r="E219" s="28">
        <f>E220+E221+E224+E223</f>
        <v>2125</v>
      </c>
      <c r="F219" s="28" t="e">
        <f t="shared" si="70"/>
        <v>#REF!</v>
      </c>
      <c r="G219" s="28" t="e">
        <f t="shared" si="70"/>
        <v>#REF!</v>
      </c>
      <c r="H219" s="28" t="e">
        <f t="shared" si="70"/>
        <v>#REF!</v>
      </c>
      <c r="I219" s="28">
        <f t="shared" si="70"/>
        <v>0</v>
      </c>
      <c r="J219" s="28">
        <f t="shared" si="70"/>
        <v>9922</v>
      </c>
      <c r="K219" s="28">
        <f t="shared" si="70"/>
        <v>2125</v>
      </c>
    </row>
    <row r="220" spans="1:11">
      <c r="A220" s="94" t="s">
        <v>15</v>
      </c>
      <c r="B220" s="41"/>
      <c r="C220" s="95" t="s">
        <v>244</v>
      </c>
      <c r="D220" s="36">
        <v>500</v>
      </c>
      <c r="E220" s="36">
        <v>125</v>
      </c>
      <c r="F220" s="36" t="e">
        <f>#REF!</f>
        <v>#REF!</v>
      </c>
      <c r="G220" s="36" t="e">
        <f>#REF!</f>
        <v>#REF!</v>
      </c>
      <c r="H220" s="36" t="e">
        <f>#REF!</f>
        <v>#REF!</v>
      </c>
      <c r="I220" s="36">
        <v>0</v>
      </c>
      <c r="J220" s="36">
        <f t="shared" ref="J220:J227" si="71">D220-I220</f>
        <v>500</v>
      </c>
      <c r="K220" s="36">
        <f t="shared" ref="K220:K227" si="72">E220-I220</f>
        <v>125</v>
      </c>
    </row>
    <row r="221" spans="1:11">
      <c r="A221" s="94" t="s">
        <v>16</v>
      </c>
      <c r="B221" s="41"/>
      <c r="C221" s="95" t="s">
        <v>245</v>
      </c>
      <c r="D221" s="36">
        <v>958</v>
      </c>
      <c r="E221" s="36">
        <v>0</v>
      </c>
      <c r="F221" s="36" t="e">
        <f>#REF!</f>
        <v>#REF!</v>
      </c>
      <c r="G221" s="36" t="e">
        <f>#REF!</f>
        <v>#REF!</v>
      </c>
      <c r="H221" s="36" t="e">
        <f>#REF!</f>
        <v>#REF!</v>
      </c>
      <c r="I221" s="36">
        <v>0</v>
      </c>
      <c r="J221" s="36">
        <f t="shared" si="71"/>
        <v>958</v>
      </c>
      <c r="K221" s="36">
        <f t="shared" si="72"/>
        <v>0</v>
      </c>
    </row>
    <row r="222" spans="1:11" hidden="1">
      <c r="A222" s="94" t="s">
        <v>18</v>
      </c>
      <c r="B222" s="41"/>
      <c r="C222" s="95" t="s">
        <v>136</v>
      </c>
      <c r="D222" s="36">
        <v>0</v>
      </c>
      <c r="E222" s="36">
        <v>0</v>
      </c>
      <c r="F222" s="36" t="e">
        <f>#REF!+#REF!+#REF!</f>
        <v>#REF!</v>
      </c>
      <c r="G222" s="36" t="e">
        <f>#REF!+#REF!+#REF!</f>
        <v>#REF!</v>
      </c>
      <c r="H222" s="36" t="e">
        <f>#REF!+#REF!+#REF!</f>
        <v>#REF!</v>
      </c>
      <c r="I222" s="36">
        <v>0</v>
      </c>
      <c r="J222" s="36">
        <f t="shared" si="71"/>
        <v>0</v>
      </c>
      <c r="K222" s="36">
        <f t="shared" si="72"/>
        <v>0</v>
      </c>
    </row>
    <row r="223" spans="1:11">
      <c r="A223" s="94" t="s">
        <v>18</v>
      </c>
      <c r="B223" s="41"/>
      <c r="C223" s="95" t="s">
        <v>279</v>
      </c>
      <c r="D223" s="36">
        <v>0</v>
      </c>
      <c r="E223" s="36">
        <v>0</v>
      </c>
      <c r="F223" s="36" t="e">
        <f>#REF!</f>
        <v>#REF!</v>
      </c>
      <c r="G223" s="36" t="e">
        <f>#REF!</f>
        <v>#REF!</v>
      </c>
      <c r="H223" s="36" t="e">
        <f>#REF!</f>
        <v>#REF!</v>
      </c>
      <c r="I223" s="36">
        <v>0</v>
      </c>
      <c r="J223" s="36">
        <f>D223-I223</f>
        <v>0</v>
      </c>
      <c r="K223" s="36">
        <f>E223-I223</f>
        <v>0</v>
      </c>
    </row>
    <row r="224" spans="1:11">
      <c r="A224" s="94" t="s">
        <v>19</v>
      </c>
      <c r="B224" s="41"/>
      <c r="C224" s="95" t="s">
        <v>246</v>
      </c>
      <c r="D224" s="36">
        <v>8464</v>
      </c>
      <c r="E224" s="36">
        <v>2000</v>
      </c>
      <c r="F224" s="36" t="e">
        <f>#REF!</f>
        <v>#REF!</v>
      </c>
      <c r="G224" s="36" t="e">
        <f>#REF!</f>
        <v>#REF!</v>
      </c>
      <c r="H224" s="36" t="e">
        <f>#REF!</f>
        <v>#REF!</v>
      </c>
      <c r="I224" s="36">
        <v>0</v>
      </c>
      <c r="J224" s="36">
        <f t="shared" si="71"/>
        <v>8464</v>
      </c>
      <c r="K224" s="36">
        <f t="shared" si="72"/>
        <v>2000</v>
      </c>
    </row>
    <row r="225" spans="1:11">
      <c r="A225" s="94" t="s">
        <v>20</v>
      </c>
      <c r="B225" s="41"/>
      <c r="C225" s="95" t="s">
        <v>247</v>
      </c>
      <c r="D225" s="36">
        <v>3500</v>
      </c>
      <c r="E225" s="36">
        <v>875</v>
      </c>
      <c r="F225" s="36" t="e">
        <f>#REF!</f>
        <v>#REF!</v>
      </c>
      <c r="G225" s="36" t="e">
        <f>#REF!</f>
        <v>#REF!</v>
      </c>
      <c r="H225" s="36" t="e">
        <f>#REF!</f>
        <v>#REF!</v>
      </c>
      <c r="I225" s="36">
        <v>0</v>
      </c>
      <c r="J225" s="36">
        <f t="shared" si="71"/>
        <v>3500</v>
      </c>
      <c r="K225" s="36">
        <f t="shared" si="72"/>
        <v>875</v>
      </c>
    </row>
    <row r="226" spans="1:11" hidden="1">
      <c r="A226" s="126" t="s">
        <v>21</v>
      </c>
      <c r="B226" s="41"/>
      <c r="C226" s="95" t="s">
        <v>137</v>
      </c>
      <c r="D226" s="36"/>
      <c r="E226" s="36"/>
      <c r="F226" s="36"/>
      <c r="G226" s="36"/>
      <c r="H226" s="36"/>
      <c r="I226" s="36"/>
      <c r="J226" s="36">
        <f t="shared" si="71"/>
        <v>0</v>
      </c>
      <c r="K226" s="36">
        <f t="shared" si="72"/>
        <v>0</v>
      </c>
    </row>
    <row r="227" spans="1:11" ht="25.5">
      <c r="A227" s="98" t="s">
        <v>112</v>
      </c>
      <c r="B227" s="41"/>
      <c r="C227" s="95" t="s">
        <v>248</v>
      </c>
      <c r="D227" s="36">
        <v>5871</v>
      </c>
      <c r="E227" s="36">
        <v>1500</v>
      </c>
      <c r="F227" s="36" t="e">
        <f>#REF!</f>
        <v>#REF!</v>
      </c>
      <c r="G227" s="36" t="e">
        <f>#REF!</f>
        <v>#REF!</v>
      </c>
      <c r="H227" s="36" t="e">
        <f>#REF!</f>
        <v>#REF!</v>
      </c>
      <c r="I227" s="36">
        <v>0</v>
      </c>
      <c r="J227" s="36">
        <f t="shared" si="71"/>
        <v>5871</v>
      </c>
      <c r="K227" s="36">
        <f t="shared" si="72"/>
        <v>1500</v>
      </c>
    </row>
    <row r="228" spans="1:11">
      <c r="A228" s="98"/>
      <c r="B228" s="41"/>
      <c r="C228" s="95"/>
      <c r="D228" s="36"/>
      <c r="E228" s="36"/>
      <c r="F228" s="36"/>
      <c r="G228" s="36"/>
      <c r="H228" s="36"/>
      <c r="I228" s="36"/>
      <c r="J228" s="36"/>
      <c r="K228" s="36"/>
    </row>
    <row r="229" spans="1:11" s="40" customFormat="1" ht="13.5">
      <c r="A229" s="138" t="s">
        <v>280</v>
      </c>
      <c r="B229" s="39"/>
      <c r="C229" s="27"/>
      <c r="D229" s="28">
        <f>D230+D233</f>
        <v>9871</v>
      </c>
      <c r="E229" s="28">
        <f>E230+E233</f>
        <v>9871</v>
      </c>
      <c r="F229" s="28">
        <f t="shared" ref="F229:K229" si="73">F230+F233</f>
        <v>0</v>
      </c>
      <c r="G229" s="28">
        <f t="shared" si="73"/>
        <v>0</v>
      </c>
      <c r="H229" s="28">
        <f t="shared" si="73"/>
        <v>0</v>
      </c>
      <c r="I229" s="28">
        <f t="shared" si="73"/>
        <v>0</v>
      </c>
      <c r="J229" s="28">
        <f t="shared" si="73"/>
        <v>9871</v>
      </c>
      <c r="K229" s="28">
        <f t="shared" si="73"/>
        <v>9871</v>
      </c>
    </row>
    <row r="230" spans="1:11" ht="13.5">
      <c r="A230" s="94" t="s">
        <v>25</v>
      </c>
      <c r="B230" s="99"/>
      <c r="C230" s="95" t="s">
        <v>276</v>
      </c>
      <c r="D230" s="36">
        <v>7759</v>
      </c>
      <c r="E230" s="36">
        <v>7759</v>
      </c>
      <c r="F230" s="36"/>
      <c r="G230" s="36"/>
      <c r="H230" s="36"/>
      <c r="I230" s="36">
        <v>0</v>
      </c>
      <c r="J230" s="36">
        <f>D230-I230</f>
        <v>7759</v>
      </c>
      <c r="K230" s="36">
        <f>E230-I230</f>
        <v>7759</v>
      </c>
    </row>
    <row r="231" spans="1:11">
      <c r="A231" s="108" t="s">
        <v>110</v>
      </c>
      <c r="B231" s="41"/>
      <c r="C231" s="95" t="s">
        <v>277</v>
      </c>
      <c r="D231" s="36">
        <v>1629</v>
      </c>
      <c r="E231" s="36">
        <v>1629</v>
      </c>
      <c r="F231" s="36"/>
      <c r="G231" s="36"/>
      <c r="H231" s="36"/>
      <c r="I231" s="36">
        <v>0</v>
      </c>
      <c r="J231" s="36">
        <f>D231-I231</f>
        <v>1629</v>
      </c>
      <c r="K231" s="36">
        <f>E231-I231</f>
        <v>1629</v>
      </c>
    </row>
    <row r="232" spans="1:11">
      <c r="A232" s="108" t="s">
        <v>111</v>
      </c>
      <c r="B232" s="41"/>
      <c r="C232" s="95" t="s">
        <v>278</v>
      </c>
      <c r="D232" s="36">
        <v>483</v>
      </c>
      <c r="E232" s="36">
        <v>483</v>
      </c>
      <c r="F232" s="36"/>
      <c r="G232" s="36"/>
      <c r="H232" s="36"/>
      <c r="I232" s="36">
        <v>0</v>
      </c>
      <c r="J232" s="36">
        <f>D232-I232</f>
        <v>483</v>
      </c>
      <c r="K232" s="36">
        <f>E232-I232</f>
        <v>483</v>
      </c>
    </row>
    <row r="233" spans="1:11" s="40" customFormat="1" ht="13.5">
      <c r="A233" s="69" t="s">
        <v>157</v>
      </c>
      <c r="B233" s="99"/>
      <c r="C233" s="42"/>
      <c r="D233" s="28">
        <f>SUM(D231:D232)</f>
        <v>2112</v>
      </c>
      <c r="E233" s="28">
        <f>SUM(E231:E232)</f>
        <v>2112</v>
      </c>
      <c r="F233" s="28">
        <f t="shared" ref="F233:K233" si="74">SUM(F231:F232)</f>
        <v>0</v>
      </c>
      <c r="G233" s="28">
        <f t="shared" si="74"/>
        <v>0</v>
      </c>
      <c r="H233" s="28">
        <f t="shared" si="74"/>
        <v>0</v>
      </c>
      <c r="I233" s="28">
        <f t="shared" si="74"/>
        <v>0</v>
      </c>
      <c r="J233" s="28">
        <f t="shared" si="74"/>
        <v>2112</v>
      </c>
      <c r="K233" s="28">
        <f t="shared" si="74"/>
        <v>2112</v>
      </c>
    </row>
    <row r="234" spans="1:11">
      <c r="A234" s="43" t="s">
        <v>178</v>
      </c>
      <c r="B234" s="41"/>
      <c r="C234" s="44" t="s">
        <v>181</v>
      </c>
      <c r="D234" s="45">
        <f t="shared" ref="D234:I234" si="75">D235</f>
        <v>191350</v>
      </c>
      <c r="E234" s="45">
        <f t="shared" si="75"/>
        <v>50101.58</v>
      </c>
      <c r="F234" s="45">
        <f t="shared" si="75"/>
        <v>0</v>
      </c>
      <c r="G234" s="45">
        <f t="shared" si="75"/>
        <v>0</v>
      </c>
      <c r="H234" s="45">
        <f t="shared" si="75"/>
        <v>0</v>
      </c>
      <c r="I234" s="45">
        <f t="shared" si="75"/>
        <v>31498</v>
      </c>
      <c r="J234" s="45">
        <f>J235</f>
        <v>159852</v>
      </c>
      <c r="K234" s="45">
        <f>K235</f>
        <v>18603.580000000002</v>
      </c>
    </row>
    <row r="235" spans="1:11" s="79" customFormat="1" ht="18.75" customHeight="1">
      <c r="A235" s="141" t="s">
        <v>179</v>
      </c>
      <c r="B235" s="78"/>
      <c r="C235" s="44" t="s">
        <v>180</v>
      </c>
      <c r="D235" s="45">
        <f>D236+D237+D240+D241+D242</f>
        <v>191350</v>
      </c>
      <c r="E235" s="45">
        <f t="shared" ref="E235:K235" si="76">E236+E237+E240+E241+E242</f>
        <v>50101.58</v>
      </c>
      <c r="F235" s="45">
        <f t="shared" si="76"/>
        <v>0</v>
      </c>
      <c r="G235" s="45">
        <f t="shared" si="76"/>
        <v>0</v>
      </c>
      <c r="H235" s="45">
        <f t="shared" si="76"/>
        <v>0</v>
      </c>
      <c r="I235" s="45">
        <f t="shared" si="76"/>
        <v>31498</v>
      </c>
      <c r="J235" s="45">
        <f t="shared" si="76"/>
        <v>159852</v>
      </c>
      <c r="K235" s="45">
        <f t="shared" si="76"/>
        <v>18603.580000000002</v>
      </c>
    </row>
    <row r="236" spans="1:11" s="40" customFormat="1" ht="30" customHeight="1">
      <c r="A236" s="69" t="s">
        <v>156</v>
      </c>
      <c r="B236" s="41"/>
      <c r="C236" s="95" t="s">
        <v>249</v>
      </c>
      <c r="D236" s="36">
        <v>146966</v>
      </c>
      <c r="E236" s="36">
        <f>36288+2852.58</f>
        <v>39140.58</v>
      </c>
      <c r="F236" s="36"/>
      <c r="G236" s="36"/>
      <c r="H236" s="36"/>
      <c r="I236" s="36">
        <v>24192</v>
      </c>
      <c r="J236" s="36">
        <f>D236-I236</f>
        <v>122774</v>
      </c>
      <c r="K236" s="36">
        <f>E236-I236</f>
        <v>14948.580000000002</v>
      </c>
    </row>
    <row r="237" spans="1:11" s="40" customFormat="1" ht="30.75" hidden="1" customHeight="1">
      <c r="A237" s="94" t="s">
        <v>27</v>
      </c>
      <c r="B237" s="41"/>
      <c r="C237" s="95" t="s">
        <v>292</v>
      </c>
      <c r="D237" s="36">
        <v>0</v>
      </c>
      <c r="E237" s="36">
        <v>0</v>
      </c>
      <c r="F237" s="36"/>
      <c r="G237" s="36"/>
      <c r="H237" s="36"/>
      <c r="I237" s="36">
        <v>0</v>
      </c>
      <c r="J237" s="36">
        <f>D237-I237</f>
        <v>0</v>
      </c>
      <c r="K237" s="36">
        <f>E237-I237</f>
        <v>0</v>
      </c>
    </row>
    <row r="238" spans="1:11" s="40" customFormat="1" ht="18.75" customHeight="1">
      <c r="A238" s="108" t="s">
        <v>110</v>
      </c>
      <c r="B238" s="41"/>
      <c r="C238" s="95" t="s">
        <v>250</v>
      </c>
      <c r="D238" s="36">
        <v>32331</v>
      </c>
      <c r="E238" s="36">
        <f>7983+1</f>
        <v>7984</v>
      </c>
      <c r="F238" s="36"/>
      <c r="G238" s="36"/>
      <c r="H238" s="36"/>
      <c r="I238" s="36">
        <v>5322</v>
      </c>
      <c r="J238" s="36">
        <f>D238-I238</f>
        <v>27009</v>
      </c>
      <c r="K238" s="36">
        <f>E238-I238</f>
        <v>2662</v>
      </c>
    </row>
    <row r="239" spans="1:11" s="40" customFormat="1" ht="18.75" customHeight="1">
      <c r="A239" s="108" t="s">
        <v>111</v>
      </c>
      <c r="B239" s="41"/>
      <c r="C239" s="95" t="s">
        <v>251</v>
      </c>
      <c r="D239" s="36">
        <v>12053</v>
      </c>
      <c r="E239" s="36">
        <f>2976+1</f>
        <v>2977</v>
      </c>
      <c r="F239" s="36"/>
      <c r="G239" s="36"/>
      <c r="H239" s="36"/>
      <c r="I239" s="36">
        <v>1984</v>
      </c>
      <c r="J239" s="36">
        <f>D239-I239</f>
        <v>10069</v>
      </c>
      <c r="K239" s="36">
        <f>E239-I239</f>
        <v>993</v>
      </c>
    </row>
    <row r="240" spans="1:11" s="40" customFormat="1" ht="18.75" customHeight="1">
      <c r="A240" s="123" t="s">
        <v>274</v>
      </c>
      <c r="B240" s="39"/>
      <c r="C240" s="27"/>
      <c r="D240" s="28">
        <f>SUM(D238:D239)</f>
        <v>44384</v>
      </c>
      <c r="E240" s="28">
        <f>SUM(E238:E239)</f>
        <v>10961</v>
      </c>
      <c r="F240" s="28">
        <f t="shared" ref="F240:K240" si="77">SUM(F238:F239)</f>
        <v>0</v>
      </c>
      <c r="G240" s="28">
        <f t="shared" si="77"/>
        <v>0</v>
      </c>
      <c r="H240" s="28">
        <f t="shared" si="77"/>
        <v>0</v>
      </c>
      <c r="I240" s="28">
        <f t="shared" si="77"/>
        <v>7306</v>
      </c>
      <c r="J240" s="28">
        <f t="shared" si="77"/>
        <v>37078</v>
      </c>
      <c r="K240" s="28">
        <f t="shared" si="77"/>
        <v>3655</v>
      </c>
    </row>
    <row r="241" spans="1:11" ht="15.75" customHeight="1">
      <c r="A241" s="142" t="s">
        <v>20</v>
      </c>
      <c r="B241" s="41"/>
      <c r="C241" s="95" t="s">
        <v>281</v>
      </c>
      <c r="D241" s="36">
        <v>0</v>
      </c>
      <c r="E241" s="36">
        <v>0</v>
      </c>
      <c r="F241" s="36"/>
      <c r="G241" s="36"/>
      <c r="H241" s="36"/>
      <c r="I241" s="36">
        <v>0</v>
      </c>
      <c r="J241" s="36">
        <f>D241-I241</f>
        <v>0</v>
      </c>
      <c r="K241" s="36">
        <f>E241-I241</f>
        <v>0</v>
      </c>
    </row>
    <row r="242" spans="1:11" s="40" customFormat="1" ht="18.75" customHeight="1">
      <c r="A242" s="142" t="s">
        <v>20</v>
      </c>
      <c r="B242" s="39"/>
      <c r="C242" s="95" t="s">
        <v>293</v>
      </c>
      <c r="D242" s="36">
        <v>0</v>
      </c>
      <c r="E242" s="36">
        <v>0</v>
      </c>
      <c r="F242" s="28"/>
      <c r="G242" s="28"/>
      <c r="H242" s="28"/>
      <c r="I242" s="36">
        <v>0</v>
      </c>
      <c r="J242" s="36">
        <f>D242-I242</f>
        <v>0</v>
      </c>
      <c r="K242" s="36">
        <f>E242-I242</f>
        <v>0</v>
      </c>
    </row>
    <row r="243" spans="1:11" s="147" customFormat="1" ht="18.75" customHeight="1">
      <c r="A243" s="143" t="s">
        <v>70</v>
      </c>
      <c r="B243" s="144"/>
      <c r="C243" s="145"/>
      <c r="D243" s="146"/>
      <c r="E243" s="146"/>
      <c r="F243" s="146"/>
      <c r="G243" s="146"/>
      <c r="H243" s="146"/>
      <c r="I243" s="146"/>
      <c r="J243" s="146"/>
      <c r="K243" s="146"/>
    </row>
    <row r="244" spans="1:11">
      <c r="A244" s="124" t="s">
        <v>14</v>
      </c>
      <c r="B244" s="41"/>
      <c r="C244" s="148" t="s">
        <v>71</v>
      </c>
      <c r="D244" s="36">
        <f t="shared" ref="D244:K244" si="78">D17+D45+D102</f>
        <v>1281783</v>
      </c>
      <c r="E244" s="36">
        <f t="shared" si="78"/>
        <v>324715.76</v>
      </c>
      <c r="F244" s="36">
        <f t="shared" si="78"/>
        <v>0</v>
      </c>
      <c r="G244" s="36">
        <f t="shared" si="78"/>
        <v>0</v>
      </c>
      <c r="H244" s="36">
        <f t="shared" si="78"/>
        <v>0</v>
      </c>
      <c r="I244" s="36">
        <f t="shared" si="78"/>
        <v>297852.08999999997</v>
      </c>
      <c r="J244" s="36">
        <f t="shared" si="78"/>
        <v>983930.90999999992</v>
      </c>
      <c r="K244" s="36">
        <f t="shared" si="78"/>
        <v>26863.670000000013</v>
      </c>
    </row>
    <row r="245" spans="1:11">
      <c r="A245" s="124" t="s">
        <v>25</v>
      </c>
      <c r="B245" s="41"/>
      <c r="C245" s="148" t="s">
        <v>72</v>
      </c>
      <c r="D245" s="36">
        <f t="shared" ref="D245:K245" si="79">D46+D159</f>
        <v>1284062</v>
      </c>
      <c r="E245" s="36">
        <f t="shared" si="79"/>
        <v>305409</v>
      </c>
      <c r="F245" s="36">
        <f t="shared" si="79"/>
        <v>0</v>
      </c>
      <c r="G245" s="36">
        <f t="shared" si="79"/>
        <v>0</v>
      </c>
      <c r="H245" s="36">
        <f t="shared" si="79"/>
        <v>0</v>
      </c>
      <c r="I245" s="36">
        <f t="shared" si="79"/>
        <v>245579.39</v>
      </c>
      <c r="J245" s="36">
        <f t="shared" si="79"/>
        <v>1038482.61</v>
      </c>
      <c r="K245" s="36">
        <f t="shared" si="79"/>
        <v>59829.61</v>
      </c>
    </row>
    <row r="246" spans="1:11" s="102" customFormat="1" ht="13.5">
      <c r="A246" s="149" t="s">
        <v>89</v>
      </c>
      <c r="B246" s="99"/>
      <c r="C246" s="42"/>
      <c r="D246" s="101">
        <f>SUM(D244:D245)</f>
        <v>2565845</v>
      </c>
      <c r="E246" s="101">
        <f>SUM(E244:E245)</f>
        <v>630124.76</v>
      </c>
      <c r="F246" s="101">
        <f t="shared" ref="F246:K246" si="80">SUM(F244:F245)</f>
        <v>0</v>
      </c>
      <c r="G246" s="101">
        <f t="shared" si="80"/>
        <v>0</v>
      </c>
      <c r="H246" s="101">
        <f t="shared" si="80"/>
        <v>0</v>
      </c>
      <c r="I246" s="101">
        <f t="shared" si="80"/>
        <v>543431.48</v>
      </c>
      <c r="J246" s="101">
        <f t="shared" si="80"/>
        <v>2022413.52</v>
      </c>
      <c r="K246" s="101">
        <f t="shared" si="80"/>
        <v>86693.280000000013</v>
      </c>
    </row>
    <row r="247" spans="1:11" ht="38.25">
      <c r="A247" s="124" t="s">
        <v>26</v>
      </c>
      <c r="B247" s="41"/>
      <c r="C247" s="148" t="s">
        <v>73</v>
      </c>
      <c r="D247" s="36">
        <f>D48+D160</f>
        <v>43166</v>
      </c>
      <c r="E247" s="36">
        <f t="shared" ref="E247:K247" si="81">E48+E160</f>
        <v>0</v>
      </c>
      <c r="F247" s="36">
        <f t="shared" si="81"/>
        <v>0</v>
      </c>
      <c r="G247" s="36">
        <f t="shared" si="81"/>
        <v>0</v>
      </c>
      <c r="H247" s="36">
        <f t="shared" si="81"/>
        <v>0</v>
      </c>
      <c r="I247" s="36">
        <f t="shared" si="81"/>
        <v>0</v>
      </c>
      <c r="J247" s="36">
        <f t="shared" si="81"/>
        <v>43166</v>
      </c>
      <c r="K247" s="36">
        <f t="shared" si="81"/>
        <v>0</v>
      </c>
    </row>
    <row r="248" spans="1:11" ht="30.75" customHeight="1">
      <c r="A248" s="124" t="s">
        <v>27</v>
      </c>
      <c r="B248" s="41"/>
      <c r="C248" s="148" t="s">
        <v>74</v>
      </c>
      <c r="D248" s="36">
        <f t="shared" ref="D248:K248" si="82">D161+D104+D49</f>
        <v>35750</v>
      </c>
      <c r="E248" s="36">
        <f t="shared" si="82"/>
        <v>8125</v>
      </c>
      <c r="F248" s="36">
        <f t="shared" si="82"/>
        <v>0</v>
      </c>
      <c r="G248" s="36">
        <f t="shared" si="82"/>
        <v>0</v>
      </c>
      <c r="H248" s="36">
        <f t="shared" si="82"/>
        <v>0</v>
      </c>
      <c r="I248" s="36">
        <f t="shared" si="82"/>
        <v>0</v>
      </c>
      <c r="J248" s="36">
        <f t="shared" si="82"/>
        <v>35750</v>
      </c>
      <c r="K248" s="36">
        <f t="shared" si="82"/>
        <v>8125</v>
      </c>
    </row>
    <row r="249" spans="1:11" s="102" customFormat="1" ht="13.5">
      <c r="A249" s="149" t="s">
        <v>90</v>
      </c>
      <c r="B249" s="99"/>
      <c r="C249" s="42"/>
      <c r="D249" s="101">
        <f t="shared" ref="D249:K249" si="83">SUM(D247:D248)</f>
        <v>78916</v>
      </c>
      <c r="E249" s="101">
        <f>SUM(E247:E248)</f>
        <v>8125</v>
      </c>
      <c r="F249" s="101">
        <f t="shared" si="83"/>
        <v>0</v>
      </c>
      <c r="G249" s="101">
        <f t="shared" si="83"/>
        <v>0</v>
      </c>
      <c r="H249" s="101">
        <f t="shared" si="83"/>
        <v>0</v>
      </c>
      <c r="I249" s="101">
        <f t="shared" si="83"/>
        <v>0</v>
      </c>
      <c r="J249" s="101">
        <f t="shared" si="83"/>
        <v>78916</v>
      </c>
      <c r="K249" s="101">
        <f t="shared" si="83"/>
        <v>8125</v>
      </c>
    </row>
    <row r="250" spans="1:11">
      <c r="A250" s="108" t="s">
        <v>110</v>
      </c>
      <c r="B250" s="41"/>
      <c r="C250" s="148" t="s">
        <v>75</v>
      </c>
      <c r="D250" s="36">
        <f t="shared" ref="D250:K251" si="84">D18+D51+D106+D163</f>
        <v>564485</v>
      </c>
      <c r="E250" s="36">
        <f t="shared" si="84"/>
        <v>133957</v>
      </c>
      <c r="F250" s="36">
        <f t="shared" si="84"/>
        <v>0</v>
      </c>
      <c r="G250" s="36">
        <f t="shared" si="84"/>
        <v>0</v>
      </c>
      <c r="H250" s="36">
        <f t="shared" si="84"/>
        <v>0</v>
      </c>
      <c r="I250" s="36">
        <f t="shared" si="84"/>
        <v>72095.490000000005</v>
      </c>
      <c r="J250" s="36">
        <f t="shared" si="84"/>
        <v>492389.51</v>
      </c>
      <c r="K250" s="36">
        <f t="shared" si="84"/>
        <v>61861.51</v>
      </c>
    </row>
    <row r="251" spans="1:11">
      <c r="A251" s="108" t="s">
        <v>111</v>
      </c>
      <c r="B251" s="41"/>
      <c r="C251" s="148" t="s">
        <v>76</v>
      </c>
      <c r="D251" s="36">
        <f t="shared" si="84"/>
        <v>210400</v>
      </c>
      <c r="E251" s="36">
        <f t="shared" si="84"/>
        <v>49928</v>
      </c>
      <c r="F251" s="36">
        <f t="shared" si="84"/>
        <v>0</v>
      </c>
      <c r="G251" s="36">
        <f t="shared" si="84"/>
        <v>0</v>
      </c>
      <c r="H251" s="36">
        <f t="shared" si="84"/>
        <v>0</v>
      </c>
      <c r="I251" s="36">
        <f t="shared" si="84"/>
        <v>-11229.060000000001</v>
      </c>
      <c r="J251" s="36">
        <f t="shared" si="84"/>
        <v>221629.06</v>
      </c>
      <c r="K251" s="36">
        <f t="shared" si="84"/>
        <v>61157.06</v>
      </c>
    </row>
    <row r="252" spans="1:11" s="102" customFormat="1" ht="13.5">
      <c r="A252" s="149" t="s">
        <v>93</v>
      </c>
      <c r="B252" s="99"/>
      <c r="C252" s="42"/>
      <c r="D252" s="101">
        <f t="shared" ref="D252:K252" si="85">SUM(D250:D251)</f>
        <v>774885</v>
      </c>
      <c r="E252" s="101">
        <f>SUM(E250:E251)</f>
        <v>183885</v>
      </c>
      <c r="F252" s="101">
        <f t="shared" si="85"/>
        <v>0</v>
      </c>
      <c r="G252" s="101">
        <f t="shared" si="85"/>
        <v>0</v>
      </c>
      <c r="H252" s="101">
        <f t="shared" si="85"/>
        <v>0</v>
      </c>
      <c r="I252" s="101">
        <f t="shared" si="85"/>
        <v>60866.430000000008</v>
      </c>
      <c r="J252" s="101">
        <f>SUM(J250:J251)</f>
        <v>714018.57000000007</v>
      </c>
      <c r="K252" s="101">
        <f t="shared" si="85"/>
        <v>123018.57</v>
      </c>
    </row>
    <row r="253" spans="1:11" s="102" customFormat="1" ht="13.5">
      <c r="A253" s="149"/>
      <c r="B253" s="99"/>
      <c r="C253" s="42"/>
      <c r="D253" s="101">
        <f>D254+D255+D259+D261+D262</f>
        <v>2425584.13</v>
      </c>
      <c r="E253" s="101">
        <f>E254+E255+E259+E261+E262</f>
        <v>948131.1</v>
      </c>
      <c r="F253" s="101">
        <f t="shared" ref="F253:K253" si="86">F254+F255+F259+F261+F262</f>
        <v>293549</v>
      </c>
      <c r="G253" s="101">
        <f t="shared" si="86"/>
        <v>0</v>
      </c>
      <c r="H253" s="101">
        <f t="shared" si="86"/>
        <v>0</v>
      </c>
      <c r="I253" s="101">
        <f t="shared" si="86"/>
        <v>516003.39999999991</v>
      </c>
      <c r="J253" s="101">
        <f t="shared" si="86"/>
        <v>1909580.73</v>
      </c>
      <c r="K253" s="101">
        <f t="shared" si="86"/>
        <v>432127.7</v>
      </c>
    </row>
    <row r="254" spans="1:11">
      <c r="A254" s="124" t="s">
        <v>15</v>
      </c>
      <c r="B254" s="41"/>
      <c r="C254" s="148" t="s">
        <v>269</v>
      </c>
      <c r="D254" s="36">
        <f t="shared" ref="D254:K254" si="87">D59+D171</f>
        <v>43856</v>
      </c>
      <c r="E254" s="36">
        <f t="shared" si="87"/>
        <v>10964</v>
      </c>
      <c r="F254" s="36">
        <f t="shared" si="87"/>
        <v>0</v>
      </c>
      <c r="G254" s="36">
        <f t="shared" si="87"/>
        <v>0</v>
      </c>
      <c r="H254" s="36">
        <f t="shared" si="87"/>
        <v>0</v>
      </c>
      <c r="I254" s="36">
        <f t="shared" si="87"/>
        <v>2232.2200000000003</v>
      </c>
      <c r="J254" s="36">
        <f t="shared" si="87"/>
        <v>41623.78</v>
      </c>
      <c r="K254" s="36">
        <f t="shared" si="87"/>
        <v>8731.7800000000007</v>
      </c>
    </row>
    <row r="255" spans="1:11">
      <c r="A255" s="124" t="s">
        <v>16</v>
      </c>
      <c r="B255" s="41"/>
      <c r="C255" s="148" t="s">
        <v>77</v>
      </c>
      <c r="D255" s="36">
        <f t="shared" ref="D255:K255" si="88">D55+D60+D112+D167</f>
        <v>58530</v>
      </c>
      <c r="E255" s="36">
        <f t="shared" si="88"/>
        <v>8190</v>
      </c>
      <c r="F255" s="36">
        <f t="shared" si="88"/>
        <v>0</v>
      </c>
      <c r="G255" s="36">
        <f t="shared" si="88"/>
        <v>0</v>
      </c>
      <c r="H255" s="36">
        <f t="shared" si="88"/>
        <v>0</v>
      </c>
      <c r="I255" s="36">
        <f t="shared" si="88"/>
        <v>0</v>
      </c>
      <c r="J255" s="36">
        <f t="shared" si="88"/>
        <v>58530</v>
      </c>
      <c r="K255" s="36">
        <f t="shared" si="88"/>
        <v>8190</v>
      </c>
    </row>
    <row r="256" spans="1:11">
      <c r="A256" s="124" t="s">
        <v>32</v>
      </c>
      <c r="B256" s="41"/>
      <c r="C256" s="148" t="s">
        <v>78</v>
      </c>
      <c r="D256" s="36">
        <f>D61</f>
        <v>1173868</v>
      </c>
      <c r="E256" s="36">
        <f>E61</f>
        <v>564836</v>
      </c>
      <c r="F256" s="36">
        <f t="shared" ref="F256:K256" si="89">F61</f>
        <v>0</v>
      </c>
      <c r="G256" s="36">
        <f t="shared" si="89"/>
        <v>0</v>
      </c>
      <c r="H256" s="36">
        <f t="shared" si="89"/>
        <v>0</v>
      </c>
      <c r="I256" s="36">
        <f t="shared" si="89"/>
        <v>388842.6</v>
      </c>
      <c r="J256" s="36">
        <f t="shared" si="89"/>
        <v>785025.4</v>
      </c>
      <c r="K256" s="36">
        <f t="shared" si="89"/>
        <v>175993.40000000002</v>
      </c>
    </row>
    <row r="257" spans="1:11">
      <c r="A257" s="124" t="s">
        <v>28</v>
      </c>
      <c r="B257" s="41"/>
      <c r="C257" s="148" t="s">
        <v>79</v>
      </c>
      <c r="D257" s="36">
        <f t="shared" ref="D257:K257" si="90">D62+D147</f>
        <v>419895</v>
      </c>
      <c r="E257" s="36">
        <f t="shared" si="90"/>
        <v>184767</v>
      </c>
      <c r="F257" s="36">
        <f t="shared" si="90"/>
        <v>0</v>
      </c>
      <c r="G257" s="36">
        <f t="shared" si="90"/>
        <v>0</v>
      </c>
      <c r="H257" s="36">
        <f t="shared" si="90"/>
        <v>0</v>
      </c>
      <c r="I257" s="36">
        <f t="shared" si="90"/>
        <v>120817.35</v>
      </c>
      <c r="J257" s="36">
        <f t="shared" si="90"/>
        <v>299077.65000000002</v>
      </c>
      <c r="K257" s="36">
        <f t="shared" si="90"/>
        <v>63949.649999999994</v>
      </c>
    </row>
    <row r="258" spans="1:11">
      <c r="A258" s="124" t="s">
        <v>29</v>
      </c>
      <c r="B258" s="41"/>
      <c r="C258" s="148" t="s">
        <v>80</v>
      </c>
      <c r="D258" s="36">
        <f t="shared" ref="D258:K258" si="91">D63</f>
        <v>10978</v>
      </c>
      <c r="E258" s="36">
        <f>E63</f>
        <v>2746</v>
      </c>
      <c r="F258" s="36">
        <f t="shared" si="91"/>
        <v>3294</v>
      </c>
      <c r="G258" s="36">
        <f t="shared" si="91"/>
        <v>0</v>
      </c>
      <c r="H258" s="36">
        <f t="shared" si="91"/>
        <v>0</v>
      </c>
      <c r="I258" s="36">
        <f t="shared" si="91"/>
        <v>851.23</v>
      </c>
      <c r="J258" s="36">
        <f t="shared" si="91"/>
        <v>10126.77</v>
      </c>
      <c r="K258" s="36">
        <f t="shared" si="91"/>
        <v>1894.77</v>
      </c>
    </row>
    <row r="259" spans="1:11" s="102" customFormat="1" ht="13.5">
      <c r="A259" s="149" t="s">
        <v>91</v>
      </c>
      <c r="B259" s="99"/>
      <c r="C259" s="42"/>
      <c r="D259" s="101">
        <f t="shared" ref="D259:K259" si="92">SUM(D256:D258)</f>
        <v>1604741</v>
      </c>
      <c r="E259" s="101">
        <f>SUM(E256:E258)</f>
        <v>752349</v>
      </c>
      <c r="F259" s="101">
        <f t="shared" si="92"/>
        <v>3294</v>
      </c>
      <c r="G259" s="101">
        <f>SUM(G256:G258)</f>
        <v>0</v>
      </c>
      <c r="H259" s="101">
        <f>SUM(H256:H258)</f>
        <v>0</v>
      </c>
      <c r="I259" s="101">
        <f>SUM(I256:I258)</f>
        <v>510511.17999999993</v>
      </c>
      <c r="J259" s="101">
        <f t="shared" si="92"/>
        <v>1094229.82</v>
      </c>
      <c r="K259" s="101">
        <f t="shared" si="92"/>
        <v>241837.82</v>
      </c>
    </row>
    <row r="260" spans="1:11" s="151" customFormat="1" hidden="1">
      <c r="A260" s="124" t="s">
        <v>19</v>
      </c>
      <c r="B260" s="150"/>
      <c r="C260" s="148" t="s">
        <v>114</v>
      </c>
      <c r="D260" s="36"/>
      <c r="E260" s="36"/>
      <c r="F260" s="36"/>
      <c r="G260" s="36"/>
      <c r="H260" s="36"/>
      <c r="I260" s="36"/>
      <c r="J260" s="36"/>
      <c r="K260" s="36"/>
    </row>
    <row r="261" spans="1:11">
      <c r="A261" s="124" t="s">
        <v>18</v>
      </c>
      <c r="B261" s="41"/>
      <c r="C261" s="148" t="s">
        <v>81</v>
      </c>
      <c r="D261" s="36">
        <f t="shared" ref="D261:K261" si="93">D65+D114+D137+D172+D140+D138</f>
        <v>525605</v>
      </c>
      <c r="E261" s="36">
        <f t="shared" si="93"/>
        <v>123760.84</v>
      </c>
      <c r="F261" s="36">
        <f t="shared" si="93"/>
        <v>166530</v>
      </c>
      <c r="G261" s="36">
        <f t="shared" si="93"/>
        <v>0</v>
      </c>
      <c r="H261" s="36">
        <f t="shared" si="93"/>
        <v>0</v>
      </c>
      <c r="I261" s="36">
        <f t="shared" si="93"/>
        <v>0</v>
      </c>
      <c r="J261" s="36">
        <f t="shared" si="93"/>
        <v>525605</v>
      </c>
      <c r="K261" s="36">
        <f t="shared" si="93"/>
        <v>123760.84</v>
      </c>
    </row>
    <row r="262" spans="1:11">
      <c r="A262" s="124" t="s">
        <v>19</v>
      </c>
      <c r="B262" s="41"/>
      <c r="C262" s="148" t="s">
        <v>268</v>
      </c>
      <c r="D262" s="36">
        <f>D56+D66+D80+D110+D116+D126+D127+D139+D148+D151+D168+D173+D141+D81+D76+D77+D153+D154</f>
        <v>192852.13</v>
      </c>
      <c r="E262" s="36">
        <f t="shared" ref="D262:I262" si="94">E56+E66+E80+E110+E116+E126+E127+E139+E148+E151+E168+E173+E141+E81+E76+E77+E153+E154</f>
        <v>52867.259999999995</v>
      </c>
      <c r="F262" s="36">
        <f t="shared" si="94"/>
        <v>123725</v>
      </c>
      <c r="G262" s="36">
        <f t="shared" si="94"/>
        <v>0</v>
      </c>
      <c r="H262" s="36">
        <f t="shared" si="94"/>
        <v>0</v>
      </c>
      <c r="I262" s="36">
        <f t="shared" si="94"/>
        <v>3260</v>
      </c>
      <c r="J262" s="36">
        <f>J56+J66+J80+J110+J116+J126+J127+J139+J148+J151+J168+J173+J141+J81+J76+J77+J153</f>
        <v>189592.13</v>
      </c>
      <c r="K262" s="36">
        <f>K56+K66+K80+K110+K116+K126+K127+K139+K148+K151+K168+K173+K141+K81+K76+K77+K153</f>
        <v>49607.259999999995</v>
      </c>
    </row>
    <row r="263" spans="1:11" ht="25.5" hidden="1">
      <c r="A263" s="94" t="s">
        <v>22</v>
      </c>
      <c r="B263" s="41"/>
      <c r="C263" s="148" t="s">
        <v>86</v>
      </c>
      <c r="D263" s="36"/>
      <c r="E263" s="36"/>
      <c r="F263" s="36"/>
      <c r="G263" s="36"/>
      <c r="H263" s="36"/>
      <c r="I263" s="36"/>
      <c r="J263" s="36"/>
      <c r="K263" s="36"/>
    </row>
    <row r="264" spans="1:11">
      <c r="A264" s="124" t="s">
        <v>20</v>
      </c>
      <c r="B264" s="41"/>
      <c r="C264" s="148" t="s">
        <v>82</v>
      </c>
      <c r="D264" s="36">
        <f t="shared" ref="D264:I264" si="95">D67+D93+D73</f>
        <v>21110.5</v>
      </c>
      <c r="E264" s="36">
        <f t="shared" si="95"/>
        <v>1188.5</v>
      </c>
      <c r="F264" s="36">
        <f t="shared" si="95"/>
        <v>0</v>
      </c>
      <c r="G264" s="36">
        <f t="shared" si="95"/>
        <v>0</v>
      </c>
      <c r="H264" s="36">
        <f t="shared" si="95"/>
        <v>0</v>
      </c>
      <c r="I264" s="36">
        <f t="shared" si="95"/>
        <v>0</v>
      </c>
      <c r="J264" s="36">
        <f>J67+J73+J93</f>
        <v>21110.5</v>
      </c>
      <c r="K264" s="36">
        <f>K67+K73+K93</f>
        <v>1188.5</v>
      </c>
    </row>
    <row r="265" spans="1:11">
      <c r="A265" s="124" t="s">
        <v>21</v>
      </c>
      <c r="B265" s="41"/>
      <c r="C265" s="148" t="s">
        <v>83</v>
      </c>
      <c r="D265" s="36">
        <f t="shared" ref="D265:K265" si="96">D118+D69</f>
        <v>232777.36</v>
      </c>
      <c r="E265" s="36">
        <f t="shared" si="96"/>
        <v>38713.360000000001</v>
      </c>
      <c r="F265" s="36">
        <f t="shared" si="96"/>
        <v>0</v>
      </c>
      <c r="G265" s="36">
        <f t="shared" si="96"/>
        <v>0</v>
      </c>
      <c r="H265" s="36">
        <f t="shared" si="96"/>
        <v>0</v>
      </c>
      <c r="I265" s="36">
        <f t="shared" si="96"/>
        <v>0</v>
      </c>
      <c r="J265" s="36">
        <f t="shared" si="96"/>
        <v>232777.36</v>
      </c>
      <c r="K265" s="36">
        <f t="shared" si="96"/>
        <v>38713.360000000001</v>
      </c>
    </row>
    <row r="266" spans="1:11" ht="25.5">
      <c r="A266" s="124" t="s">
        <v>31</v>
      </c>
      <c r="B266" s="41"/>
      <c r="C266" s="148" t="s">
        <v>84</v>
      </c>
      <c r="D266" s="36">
        <f>D70</f>
        <v>140046</v>
      </c>
      <c r="E266" s="36">
        <f>E70</f>
        <v>35500</v>
      </c>
      <c r="F266" s="36">
        <f t="shared" ref="F266:K266" si="97">F70</f>
        <v>0</v>
      </c>
      <c r="G266" s="36">
        <f t="shared" si="97"/>
        <v>0</v>
      </c>
      <c r="H266" s="36">
        <f t="shared" si="97"/>
        <v>0</v>
      </c>
      <c r="I266" s="36">
        <f t="shared" si="97"/>
        <v>0</v>
      </c>
      <c r="J266" s="36">
        <f>J70</f>
        <v>140046</v>
      </c>
      <c r="K266" s="36">
        <f t="shared" si="97"/>
        <v>35500</v>
      </c>
    </row>
    <row r="267" spans="1:11" ht="25.5">
      <c r="A267" s="152" t="s">
        <v>30</v>
      </c>
      <c r="B267" s="41"/>
      <c r="C267" s="148" t="s">
        <v>85</v>
      </c>
      <c r="D267" s="36">
        <f t="shared" ref="D267:K267" si="98">D71+D97+D119+D175+D150</f>
        <v>31171</v>
      </c>
      <c r="E267" s="36">
        <f t="shared" si="98"/>
        <v>11510</v>
      </c>
      <c r="F267" s="36">
        <f t="shared" si="98"/>
        <v>0</v>
      </c>
      <c r="G267" s="36">
        <f t="shared" si="98"/>
        <v>0</v>
      </c>
      <c r="H267" s="36">
        <f t="shared" si="98"/>
        <v>0</v>
      </c>
      <c r="I267" s="36">
        <f t="shared" si="98"/>
        <v>0</v>
      </c>
      <c r="J267" s="36">
        <f t="shared" si="98"/>
        <v>31171</v>
      </c>
      <c r="K267" s="36">
        <f t="shared" si="98"/>
        <v>11510</v>
      </c>
    </row>
    <row r="268" spans="1:11" s="102" customFormat="1" ht="13.5">
      <c r="A268" s="149" t="s">
        <v>92</v>
      </c>
      <c r="B268" s="99"/>
      <c r="C268" s="42"/>
      <c r="D268" s="101">
        <f>SUM(D266:D267)</f>
        <v>171217</v>
      </c>
      <c r="E268" s="101">
        <f>SUM(E266:E267)</f>
        <v>47010</v>
      </c>
      <c r="F268" s="101">
        <f t="shared" ref="F268:K268" si="99">SUM(F266:F267)</f>
        <v>0</v>
      </c>
      <c r="G268" s="101">
        <f t="shared" si="99"/>
        <v>0</v>
      </c>
      <c r="H268" s="101">
        <f t="shared" si="99"/>
        <v>0</v>
      </c>
      <c r="I268" s="101">
        <f t="shared" si="99"/>
        <v>0</v>
      </c>
      <c r="J268" s="101">
        <f t="shared" si="99"/>
        <v>171217</v>
      </c>
      <c r="K268" s="101">
        <f t="shared" si="99"/>
        <v>47010</v>
      </c>
    </row>
    <row r="269" spans="1:11" s="102" customFormat="1" ht="13.5">
      <c r="A269" s="149"/>
      <c r="B269" s="99"/>
      <c r="C269" s="42" t="s">
        <v>113</v>
      </c>
      <c r="D269" s="101">
        <f t="shared" ref="D269:K269" si="100">D235+D177</f>
        <v>2399833</v>
      </c>
      <c r="E269" s="101">
        <f t="shared" si="100"/>
        <v>717463.33</v>
      </c>
      <c r="F269" s="101" t="e">
        <f t="shared" si="100"/>
        <v>#REF!</v>
      </c>
      <c r="G269" s="101" t="e">
        <f t="shared" si="100"/>
        <v>#REF!</v>
      </c>
      <c r="H269" s="101" t="e">
        <f t="shared" si="100"/>
        <v>#REF!</v>
      </c>
      <c r="I269" s="101">
        <f t="shared" si="100"/>
        <v>432512.28999999992</v>
      </c>
      <c r="J269" s="101">
        <f t="shared" si="100"/>
        <v>1967320.71</v>
      </c>
      <c r="K269" s="101">
        <f t="shared" si="100"/>
        <v>284951.04000000004</v>
      </c>
    </row>
    <row r="270" spans="1:11" s="155" customFormat="1" ht="24" customHeight="1">
      <c r="A270" s="153" t="s">
        <v>23</v>
      </c>
      <c r="B270" s="117"/>
      <c r="C270" s="44"/>
      <c r="D270" s="154">
        <f>D246+D249+D252+D253+D263+D264+D265+D268+D269</f>
        <v>8670167.9900000002</v>
      </c>
      <c r="E270" s="154">
        <f t="shared" ref="E270:K270" si="101">E246+E249+E252+E253+E263+E264+E265+E268+E269</f>
        <v>2574641.0499999998</v>
      </c>
      <c r="F270" s="154" t="e">
        <f t="shared" si="101"/>
        <v>#REF!</v>
      </c>
      <c r="G270" s="154" t="e">
        <f t="shared" si="101"/>
        <v>#REF!</v>
      </c>
      <c r="H270" s="154" t="e">
        <f t="shared" si="101"/>
        <v>#REF!</v>
      </c>
      <c r="I270" s="154">
        <f t="shared" si="101"/>
        <v>1552813.6</v>
      </c>
      <c r="J270" s="154">
        <f t="shared" si="101"/>
        <v>7117354.3900000006</v>
      </c>
      <c r="K270" s="154">
        <f t="shared" si="101"/>
        <v>1021827.4500000001</v>
      </c>
    </row>
    <row r="271" spans="1:11">
      <c r="D271" s="156"/>
      <c r="E271" s="157"/>
      <c r="F271" s="157"/>
    </row>
  </sheetData>
  <mergeCells count="8">
    <mergeCell ref="E11:E12"/>
    <mergeCell ref="I11:I12"/>
    <mergeCell ref="J11:K11"/>
    <mergeCell ref="A11:A12"/>
    <mergeCell ref="B11:B12"/>
    <mergeCell ref="C11:C12"/>
    <mergeCell ref="D11:D12"/>
    <mergeCell ref="F11:F12"/>
  </mergeCells>
  <phoneticPr fontId="0" type="noConversion"/>
  <pageMargins left="0.59055118110236227" right="0.19685039370078741" top="0.39370078740157483" bottom="0.39370078740157483" header="0.19685039370078741" footer="0.39370078740157483"/>
  <pageSetup paperSize="9" scale="85" fitToHeight="0" orientation="landscape" r:id="rId1"/>
  <headerFooter alignWithMargins="0">
    <oddFooter>&amp;RСтраница &amp;P из &amp;N</oddFooter>
  </headerFooter>
  <rowBreaks count="6" manualBreakCount="6">
    <brk id="59" max="10" man="1"/>
    <brk id="98" max="16383" man="1"/>
    <brk id="142" max="16383" man="1"/>
    <brk id="176" max="16383" man="1"/>
    <brk id="209" max="16383" man="1"/>
    <brk id="2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view="pageBreakPreview" topLeftCell="A11" zoomScaleSheetLayoutView="100" workbookViewId="0">
      <selection activeCell="F30" sqref="F30"/>
    </sheetView>
  </sheetViews>
  <sheetFormatPr defaultRowHeight="12.75"/>
  <cols>
    <col min="1" max="1" width="32.85546875" style="3" customWidth="1"/>
    <col min="2" max="2" width="6.5703125" style="4" customWidth="1"/>
    <col min="3" max="3" width="25.7109375" style="2" customWidth="1"/>
    <col min="4" max="4" width="15.7109375" style="5" customWidth="1"/>
    <col min="5" max="5" width="14.28515625" style="5" customWidth="1"/>
    <col min="6" max="8" width="9.140625" style="5"/>
    <col min="9" max="9" width="16" style="5" customWidth="1"/>
    <col min="10" max="10" width="0" style="5" hidden="1" customWidth="1"/>
    <col min="11" max="11" width="11.7109375" bestFit="1" customWidth="1"/>
    <col min="12" max="12" width="10.28515625" customWidth="1"/>
    <col min="13" max="13" width="11.28515625" bestFit="1" customWidth="1"/>
  </cols>
  <sheetData>
    <row r="1" spans="1:14" s="7" customFormat="1" ht="30" hidden="1" customHeight="1">
      <c r="C1" s="7" t="s">
        <v>0</v>
      </c>
    </row>
    <row r="2" spans="1:14" s="7" customFormat="1" hidden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4" s="7" customFormat="1" hidden="1">
      <c r="A3" s="8"/>
      <c r="B3" s="8"/>
      <c r="C3" s="8" t="s">
        <v>1</v>
      </c>
      <c r="D3" s="8"/>
      <c r="E3" s="8"/>
      <c r="F3" s="8"/>
      <c r="G3" s="8"/>
      <c r="H3" s="8"/>
      <c r="I3" s="8"/>
      <c r="J3" s="8"/>
    </row>
    <row r="4" spans="1:14" s="7" customFormat="1" hidden="1">
      <c r="A4" s="8"/>
      <c r="B4" s="8"/>
      <c r="C4" s="8"/>
      <c r="D4" s="8"/>
      <c r="E4" s="8"/>
      <c r="F4" s="8"/>
      <c r="G4" s="8"/>
      <c r="H4" s="8"/>
      <c r="I4" s="8"/>
      <c r="J4" s="8"/>
    </row>
    <row r="5" spans="1:14" s="7" customFormat="1" hidden="1">
      <c r="A5" s="8"/>
      <c r="B5" s="8"/>
      <c r="C5" s="8"/>
      <c r="D5" s="8"/>
      <c r="E5" s="8"/>
      <c r="F5" s="8"/>
      <c r="G5" s="8"/>
      <c r="H5" s="8"/>
      <c r="I5" s="8"/>
      <c r="J5" s="8"/>
    </row>
    <row r="6" spans="1:14" s="7" customFormat="1" hidden="1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</row>
    <row r="7" spans="1:14" s="7" customFormat="1" hidden="1">
      <c r="A7" s="8" t="s">
        <v>3</v>
      </c>
      <c r="B7" s="8"/>
      <c r="C7" s="8"/>
      <c r="D7" s="8"/>
      <c r="E7" s="8"/>
      <c r="F7" s="8"/>
      <c r="G7" s="8"/>
      <c r="H7" s="8"/>
      <c r="I7" s="8"/>
      <c r="J7" s="8"/>
    </row>
    <row r="8" spans="1:14" s="7" customFormat="1">
      <c r="A8" s="8"/>
      <c r="B8" s="8"/>
      <c r="C8" s="8"/>
      <c r="D8" s="8"/>
      <c r="E8" s="8"/>
      <c r="F8" s="8"/>
      <c r="G8" s="8"/>
      <c r="H8" s="8"/>
      <c r="I8" s="8"/>
      <c r="J8" s="8"/>
      <c r="K8" s="11" t="s">
        <v>290</v>
      </c>
    </row>
    <row r="9" spans="1:14" s="7" customFormat="1">
      <c r="A9" s="174" t="s">
        <v>37</v>
      </c>
      <c r="B9" s="174"/>
      <c r="C9" s="174"/>
      <c r="D9" s="174"/>
      <c r="E9" s="174"/>
      <c r="F9" s="174"/>
      <c r="G9" s="175" t="s">
        <v>13</v>
      </c>
      <c r="H9" s="175"/>
      <c r="I9" s="25"/>
      <c r="J9" s="8"/>
    </row>
    <row r="10" spans="1:14" s="6" customFormat="1">
      <c r="A10" s="176" t="s">
        <v>38</v>
      </c>
      <c r="B10" s="178" t="s">
        <v>39</v>
      </c>
      <c r="C10" s="176" t="s">
        <v>40</v>
      </c>
      <c r="D10" s="180" t="s">
        <v>41</v>
      </c>
      <c r="E10" s="173" t="s">
        <v>5</v>
      </c>
      <c r="F10" s="173"/>
      <c r="G10" s="173"/>
      <c r="H10" s="173"/>
      <c r="I10" s="173" t="s">
        <v>6</v>
      </c>
      <c r="J10" s="1"/>
    </row>
    <row r="11" spans="1:14" s="9" customFormat="1" ht="60" customHeight="1">
      <c r="A11" s="177"/>
      <c r="B11" s="179"/>
      <c r="C11" s="177"/>
      <c r="D11" s="181"/>
      <c r="E11" s="20" t="s">
        <v>42</v>
      </c>
      <c r="F11" s="21" t="s">
        <v>43</v>
      </c>
      <c r="G11" s="21" t="s">
        <v>44</v>
      </c>
      <c r="H11" s="21" t="s">
        <v>45</v>
      </c>
      <c r="I11" s="173"/>
      <c r="J11" s="10"/>
      <c r="K11" s="9" t="s">
        <v>130</v>
      </c>
      <c r="L11" s="9" t="s">
        <v>87</v>
      </c>
    </row>
    <row r="12" spans="1:14" s="9" customFormat="1" ht="11.25">
      <c r="A12" s="22" t="s">
        <v>46</v>
      </c>
      <c r="B12" s="23">
        <v>2</v>
      </c>
      <c r="C12" s="23" t="s">
        <v>47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10"/>
      <c r="K12" s="38">
        <v>53250.99</v>
      </c>
      <c r="L12" s="37">
        <f>K12+доходы!F18-'Расходы бюджета'!I270</f>
        <v>747572.09000000032</v>
      </c>
    </row>
    <row r="13" spans="1:14" s="9" customFormat="1" ht="33.75" customHeight="1">
      <c r="A13" s="15" t="s">
        <v>48</v>
      </c>
      <c r="B13" s="12">
        <v>500</v>
      </c>
      <c r="C13" s="13"/>
      <c r="D13" s="24">
        <f>D23-D24</f>
        <v>-53250.990000000224</v>
      </c>
      <c r="E13" s="24">
        <f>(E23)+E24</f>
        <v>-694321.10000000009</v>
      </c>
      <c r="F13" s="14" t="s">
        <v>50</v>
      </c>
      <c r="G13" s="14" t="s">
        <v>50</v>
      </c>
      <c r="H13" s="14" t="s">
        <v>50</v>
      </c>
      <c r="I13" s="14">
        <f>D13+E13</f>
        <v>-747572.09000000032</v>
      </c>
      <c r="J13" s="46"/>
      <c r="K13" s="161"/>
      <c r="L13" s="161"/>
    </row>
    <row r="14" spans="1:14">
      <c r="A14" s="15" t="s">
        <v>51</v>
      </c>
      <c r="B14" s="12"/>
      <c r="C14" s="13"/>
      <c r="D14" s="24"/>
      <c r="E14" s="14"/>
      <c r="F14" s="14"/>
      <c r="G14" s="14"/>
      <c r="H14" s="14"/>
      <c r="I14" s="14"/>
      <c r="J14" s="16"/>
      <c r="L14" s="30"/>
      <c r="M14" s="30"/>
    </row>
    <row r="15" spans="1:14" ht="22.5">
      <c r="A15" s="15" t="s">
        <v>52</v>
      </c>
      <c r="B15" s="12">
        <v>520</v>
      </c>
      <c r="C15" s="13" t="s">
        <v>49</v>
      </c>
      <c r="D15" s="24" t="s">
        <v>50</v>
      </c>
      <c r="E15" s="14"/>
      <c r="F15" s="14" t="s">
        <v>50</v>
      </c>
      <c r="G15" s="14" t="s">
        <v>50</v>
      </c>
      <c r="H15" s="14" t="s">
        <v>50</v>
      </c>
      <c r="I15" s="14" t="s">
        <v>50</v>
      </c>
      <c r="K15" s="29"/>
      <c r="L15" s="34"/>
      <c r="M15" s="31"/>
      <c r="N15" s="32"/>
    </row>
    <row r="16" spans="1:14">
      <c r="A16" s="15" t="s">
        <v>53</v>
      </c>
      <c r="B16" s="12"/>
      <c r="C16" s="13"/>
      <c r="D16" s="24"/>
      <c r="E16" s="14"/>
      <c r="F16" s="14"/>
      <c r="G16" s="14"/>
      <c r="H16" s="14"/>
      <c r="I16" s="14"/>
      <c r="M16" s="30"/>
    </row>
    <row r="17" spans="1:13" ht="22.5">
      <c r="A17" s="15" t="s">
        <v>54</v>
      </c>
      <c r="B17" s="12">
        <v>620</v>
      </c>
      <c r="C17" s="13" t="s">
        <v>49</v>
      </c>
      <c r="D17" s="24" t="s">
        <v>50</v>
      </c>
      <c r="E17" s="14"/>
      <c r="F17" s="14" t="s">
        <v>50</v>
      </c>
      <c r="G17" s="14" t="s">
        <v>50</v>
      </c>
      <c r="H17" s="14" t="s">
        <v>50</v>
      </c>
      <c r="I17" s="14" t="s">
        <v>50</v>
      </c>
      <c r="K17" s="35"/>
      <c r="L17" s="26"/>
      <c r="M17" s="33"/>
    </row>
    <row r="18" spans="1:13">
      <c r="A18" s="15" t="s">
        <v>55</v>
      </c>
      <c r="B18" s="12"/>
      <c r="C18" s="13"/>
      <c r="D18" s="24"/>
      <c r="E18" s="14"/>
      <c r="F18" s="14"/>
      <c r="G18" s="14"/>
      <c r="H18" s="14"/>
      <c r="I18" s="14"/>
    </row>
    <row r="19" spans="1:13">
      <c r="A19" s="15" t="s">
        <v>56</v>
      </c>
      <c r="B19" s="12">
        <v>700</v>
      </c>
      <c r="C19" s="13"/>
      <c r="D19" s="24" t="s">
        <v>50</v>
      </c>
      <c r="E19" s="14"/>
      <c r="F19" s="14" t="s">
        <v>50</v>
      </c>
      <c r="G19" s="14" t="s">
        <v>50</v>
      </c>
      <c r="H19" s="14" t="s">
        <v>50</v>
      </c>
      <c r="I19" s="14" t="s">
        <v>49</v>
      </c>
      <c r="K19" s="35"/>
    </row>
    <row r="20" spans="1:13" ht="22.5">
      <c r="A20" s="15" t="s">
        <v>57</v>
      </c>
      <c r="B20" s="12">
        <v>800</v>
      </c>
      <c r="C20" s="13" t="s">
        <v>49</v>
      </c>
      <c r="D20" s="24" t="s">
        <v>49</v>
      </c>
      <c r="E20" s="14"/>
      <c r="F20" s="14" t="s">
        <v>50</v>
      </c>
      <c r="G20" s="14" t="s">
        <v>50</v>
      </c>
      <c r="H20" s="14" t="s">
        <v>50</v>
      </c>
      <c r="I20" s="14" t="s">
        <v>49</v>
      </c>
      <c r="K20" s="30"/>
    </row>
    <row r="21" spans="1:13" ht="45">
      <c r="A21" s="15" t="s">
        <v>58</v>
      </c>
      <c r="B21" s="12">
        <v>810</v>
      </c>
      <c r="C21" s="13" t="s">
        <v>49</v>
      </c>
      <c r="D21" s="24" t="s">
        <v>49</v>
      </c>
      <c r="E21" s="24">
        <f>E23+E24</f>
        <v>-694321.10000000009</v>
      </c>
      <c r="F21" s="14" t="s">
        <v>50</v>
      </c>
      <c r="G21" s="14" t="s">
        <v>49</v>
      </c>
      <c r="H21" s="14" t="s">
        <v>50</v>
      </c>
      <c r="I21" s="14" t="s">
        <v>49</v>
      </c>
    </row>
    <row r="22" spans="1:13">
      <c r="A22" s="15" t="s">
        <v>53</v>
      </c>
      <c r="B22" s="12"/>
      <c r="C22" s="13"/>
      <c r="D22" s="24"/>
      <c r="E22" s="14"/>
      <c r="F22" s="14"/>
      <c r="G22" s="14"/>
      <c r="H22" s="14"/>
      <c r="I22" s="14"/>
    </row>
    <row r="23" spans="1:13" ht="29.25" customHeight="1">
      <c r="A23" s="15" t="s">
        <v>59</v>
      </c>
      <c r="B23" s="12">
        <v>811</v>
      </c>
      <c r="C23" s="13" t="s">
        <v>286</v>
      </c>
      <c r="D23" s="24">
        <f>доходы!D18</f>
        <v>8616917</v>
      </c>
      <c r="E23" s="24">
        <f>-доходы!F18</f>
        <v>-2247134.7000000002</v>
      </c>
      <c r="F23" s="14" t="s">
        <v>49</v>
      </c>
      <c r="G23" s="14" t="s">
        <v>49</v>
      </c>
      <c r="H23" s="14" t="s">
        <v>50</v>
      </c>
      <c r="I23" s="14" t="s">
        <v>49</v>
      </c>
      <c r="K23" s="26"/>
    </row>
    <row r="24" spans="1:13" ht="22.5">
      <c r="A24" s="15" t="s">
        <v>60</v>
      </c>
      <c r="B24" s="12">
        <v>812</v>
      </c>
      <c r="C24" s="13" t="s">
        <v>287</v>
      </c>
      <c r="D24" s="24">
        <f>'Расходы бюджета'!D270</f>
        <v>8670167.9900000002</v>
      </c>
      <c r="E24" s="24">
        <f>'Расходы бюджета'!I270</f>
        <v>1552813.6</v>
      </c>
      <c r="F24" s="14" t="s">
        <v>50</v>
      </c>
      <c r="G24" s="14" t="s">
        <v>49</v>
      </c>
      <c r="H24" s="14" t="s">
        <v>50</v>
      </c>
      <c r="I24" s="14" t="s">
        <v>49</v>
      </c>
      <c r="K24" s="33"/>
    </row>
    <row r="25" spans="1:13" ht="22.5">
      <c r="A25" s="15" t="s">
        <v>61</v>
      </c>
      <c r="B25" s="12">
        <v>820</v>
      </c>
      <c r="C25" s="13" t="s">
        <v>49</v>
      </c>
      <c r="D25" s="14" t="s">
        <v>49</v>
      </c>
      <c r="E25" s="14"/>
      <c r="F25" s="14" t="s">
        <v>50</v>
      </c>
      <c r="G25" s="14" t="s">
        <v>50</v>
      </c>
      <c r="H25" s="14" t="s">
        <v>50</v>
      </c>
      <c r="I25" s="14" t="s">
        <v>49</v>
      </c>
    </row>
    <row r="26" spans="1:13">
      <c r="A26" s="15" t="s">
        <v>62</v>
      </c>
      <c r="B26" s="12"/>
      <c r="C26" s="13"/>
      <c r="D26" s="14"/>
      <c r="E26" s="14"/>
      <c r="F26" s="14"/>
      <c r="G26" s="14"/>
      <c r="H26" s="14"/>
      <c r="I26" s="14"/>
    </row>
    <row r="27" spans="1:13" ht="22.5">
      <c r="A27" s="15" t="s">
        <v>63</v>
      </c>
      <c r="B27" s="12">
        <v>821</v>
      </c>
      <c r="C27" s="13" t="s">
        <v>49</v>
      </c>
      <c r="D27" s="14" t="s">
        <v>49</v>
      </c>
      <c r="E27" s="14" t="s">
        <v>49</v>
      </c>
      <c r="F27" s="14" t="s">
        <v>50</v>
      </c>
      <c r="G27" s="14" t="s">
        <v>50</v>
      </c>
      <c r="H27" s="14" t="s">
        <v>50</v>
      </c>
      <c r="I27" s="14" t="s">
        <v>49</v>
      </c>
    </row>
    <row r="28" spans="1:13" ht="22.5">
      <c r="A28" s="15" t="s">
        <v>64</v>
      </c>
      <c r="B28" s="12">
        <v>822</v>
      </c>
      <c r="C28" s="13" t="s">
        <v>49</v>
      </c>
      <c r="D28" s="14" t="s">
        <v>49</v>
      </c>
      <c r="E28" s="14" t="s">
        <v>49</v>
      </c>
      <c r="F28" s="14" t="s">
        <v>50</v>
      </c>
      <c r="G28" s="14" t="s">
        <v>50</v>
      </c>
      <c r="H28" s="14" t="s">
        <v>50</v>
      </c>
      <c r="I28" s="14" t="s">
        <v>49</v>
      </c>
    </row>
    <row r="30" spans="1:13">
      <c r="A30" s="17" t="s">
        <v>65</v>
      </c>
      <c r="B30" s="18"/>
      <c r="C30" s="19" t="s">
        <v>94</v>
      </c>
    </row>
    <row r="31" spans="1:13">
      <c r="A31" s="17"/>
      <c r="B31" s="18"/>
      <c r="C31" s="19"/>
    </row>
    <row r="32" spans="1:13">
      <c r="A32" s="17" t="s">
        <v>66</v>
      </c>
      <c r="B32" s="18"/>
      <c r="C32" s="19" t="s">
        <v>67</v>
      </c>
    </row>
    <row r="33" spans="1:3">
      <c r="A33" s="17"/>
      <c r="B33" s="18"/>
      <c r="C33" s="19"/>
    </row>
    <row r="34" spans="1:3">
      <c r="A34" s="17" t="s">
        <v>443</v>
      </c>
      <c r="B34" s="18"/>
      <c r="C34" s="19"/>
    </row>
  </sheetData>
  <mergeCells count="8">
    <mergeCell ref="I10:I11"/>
    <mergeCell ref="A9:F9"/>
    <mergeCell ref="G9:H9"/>
    <mergeCell ref="A10:A11"/>
    <mergeCell ref="B10:B11"/>
    <mergeCell ref="C10:C11"/>
    <mergeCell ref="D10:D11"/>
    <mergeCell ref="E10:H10"/>
  </mergeCells>
  <phoneticPr fontId="0" type="noConversion"/>
  <pageMargins left="0.78740157480314954" right="0.19685039370078738" top="0.39370078740157477" bottom="0.39370078740157477" header="0" footer="0"/>
  <pageSetup paperSize="9" scale="86" fitToHeight="0" orientation="landscape" r:id="rId1"/>
  <headerFooter alignWithMargins="0">
    <oddFooter>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 бюджета</vt:lpstr>
      <vt:lpstr>ИФДБ</vt:lpstr>
      <vt:lpstr>доходы!FIO</vt:lpstr>
      <vt:lpstr>ИФДБ!Заголовки_для_печати</vt:lpstr>
      <vt:lpstr>'Расходы бюджета'!Заголовки_для_печати</vt:lpstr>
    </vt:vector>
  </TitlesOfParts>
  <Company>CC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Yu. Pronina</dc:creator>
  <cp:lastModifiedBy>Саенко</cp:lastModifiedBy>
  <cp:lastPrinted>2015-04-08T05:09:28Z</cp:lastPrinted>
  <dcterms:created xsi:type="dcterms:W3CDTF">2005-06-23T13:40:44Z</dcterms:created>
  <dcterms:modified xsi:type="dcterms:W3CDTF">2015-04-19T08:08:37Z</dcterms:modified>
</cp:coreProperties>
</file>