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285" yWindow="-285" windowWidth="10995" windowHeight="9165" activeTab="1"/>
  </bookViews>
  <sheets>
    <sheet name="Расходы бюджета" sheetId="3" r:id="rId1"/>
    <sheet name="ИФДБ" sheetId="2" r:id="rId2"/>
  </sheets>
  <definedNames>
    <definedName name="_xlnm.Print_Titles" localSheetId="1">ИФДБ!$13:$13</definedName>
    <definedName name="_xlnm.Print_Titles" localSheetId="0">'Расходы бюджета'!$13:$13</definedName>
  </definedNames>
  <calcPr calcId="125725" fullCalcOnLoad="1"/>
</workbook>
</file>

<file path=xl/calcChain.xml><?xml version="1.0" encoding="utf-8"?>
<calcChain xmlns="http://schemas.openxmlformats.org/spreadsheetml/2006/main">
  <c r="D195" i="3"/>
  <c r="D196"/>
  <c r="E62"/>
  <c r="E46"/>
  <c r="E189"/>
  <c r="E188"/>
  <c r="E182"/>
  <c r="E196"/>
  <c r="E195"/>
  <c r="E153"/>
  <c r="K46"/>
  <c r="D23" i="2"/>
  <c r="D189" i="3"/>
  <c r="K189"/>
  <c r="D188"/>
  <c r="J188"/>
  <c r="D182"/>
  <c r="E268"/>
  <c r="F268"/>
  <c r="G268"/>
  <c r="H268"/>
  <c r="I268"/>
  <c r="D268"/>
  <c r="E76"/>
  <c r="F76"/>
  <c r="G76"/>
  <c r="H76"/>
  <c r="I76"/>
  <c r="D76"/>
  <c r="K78"/>
  <c r="J78"/>
  <c r="K77"/>
  <c r="K76"/>
  <c r="J77"/>
  <c r="J76"/>
  <c r="D61"/>
  <c r="D261"/>
  <c r="I173"/>
  <c r="I60"/>
  <c r="I260"/>
  <c r="I48"/>
  <c r="I208"/>
  <c r="I204"/>
  <c r="H208"/>
  <c r="G208"/>
  <c r="G204"/>
  <c r="F208"/>
  <c r="E208"/>
  <c r="E204"/>
  <c r="D208"/>
  <c r="K207"/>
  <c r="J207"/>
  <c r="K206"/>
  <c r="K208"/>
  <c r="J206"/>
  <c r="J208"/>
  <c r="K205"/>
  <c r="J205"/>
  <c r="J204"/>
  <c r="H204"/>
  <c r="F204"/>
  <c r="D204"/>
  <c r="E194"/>
  <c r="E165"/>
  <c r="E221"/>
  <c r="I221"/>
  <c r="D221"/>
  <c r="G231"/>
  <c r="D231"/>
  <c r="K225"/>
  <c r="J225"/>
  <c r="H225"/>
  <c r="G225"/>
  <c r="F225"/>
  <c r="D219"/>
  <c r="D220"/>
  <c r="D218"/>
  <c r="D214"/>
  <c r="D213"/>
  <c r="D212"/>
  <c r="I110"/>
  <c r="K110"/>
  <c r="K257"/>
  <c r="I109"/>
  <c r="I105"/>
  <c r="K105"/>
  <c r="E269"/>
  <c r="F269"/>
  <c r="G269"/>
  <c r="H269"/>
  <c r="I269"/>
  <c r="D269"/>
  <c r="I235"/>
  <c r="I231"/>
  <c r="E235"/>
  <c r="E231"/>
  <c r="D235"/>
  <c r="K234"/>
  <c r="J234"/>
  <c r="K233"/>
  <c r="K235"/>
  <c r="K231"/>
  <c r="J233"/>
  <c r="J235"/>
  <c r="J231"/>
  <c r="H235"/>
  <c r="H231"/>
  <c r="G235"/>
  <c r="F235"/>
  <c r="F231"/>
  <c r="K232"/>
  <c r="J232"/>
  <c r="I210"/>
  <c r="H210"/>
  <c r="G210"/>
  <c r="F210"/>
  <c r="E210"/>
  <c r="D210"/>
  <c r="K209"/>
  <c r="J209"/>
  <c r="D241"/>
  <c r="J241"/>
  <c r="D240"/>
  <c r="D242"/>
  <c r="D239"/>
  <c r="D238"/>
  <c r="D49"/>
  <c r="E238"/>
  <c r="E237"/>
  <c r="I238"/>
  <c r="K238"/>
  <c r="K237"/>
  <c r="K244"/>
  <c r="J244"/>
  <c r="K243"/>
  <c r="J243"/>
  <c r="K246"/>
  <c r="J246"/>
  <c r="K145"/>
  <c r="J145"/>
  <c r="K149"/>
  <c r="J149"/>
  <c r="D51"/>
  <c r="J162"/>
  <c r="F137"/>
  <c r="F136"/>
  <c r="G137"/>
  <c r="G136"/>
  <c r="H137"/>
  <c r="H136"/>
  <c r="I137"/>
  <c r="I136"/>
  <c r="E267"/>
  <c r="F267"/>
  <c r="G267"/>
  <c r="H267"/>
  <c r="I267"/>
  <c r="K140"/>
  <c r="J140"/>
  <c r="E263"/>
  <c r="J143"/>
  <c r="K143"/>
  <c r="K142"/>
  <c r="J142"/>
  <c r="D139"/>
  <c r="D267"/>
  <c r="E80"/>
  <c r="F80"/>
  <c r="G80"/>
  <c r="H80"/>
  <c r="I80"/>
  <c r="D80"/>
  <c r="K82"/>
  <c r="J82"/>
  <c r="D63"/>
  <c r="D263"/>
  <c r="D265"/>
  <c r="E86"/>
  <c r="F86"/>
  <c r="G86"/>
  <c r="H86"/>
  <c r="I86"/>
  <c r="D86"/>
  <c r="E270"/>
  <c r="F270"/>
  <c r="G270"/>
  <c r="H270"/>
  <c r="I270"/>
  <c r="D270"/>
  <c r="E272"/>
  <c r="F272"/>
  <c r="G272"/>
  <c r="H272"/>
  <c r="H274"/>
  <c r="I272"/>
  <c r="E273"/>
  <c r="E274"/>
  <c r="F273"/>
  <c r="G273"/>
  <c r="G274"/>
  <c r="H273"/>
  <c r="I273"/>
  <c r="I274"/>
  <c r="D273"/>
  <c r="D272"/>
  <c r="F263"/>
  <c r="G263"/>
  <c r="H263"/>
  <c r="I263"/>
  <c r="E262"/>
  <c r="E265"/>
  <c r="F262"/>
  <c r="G262"/>
  <c r="H262"/>
  <c r="I262"/>
  <c r="E264"/>
  <c r="F264"/>
  <c r="G264"/>
  <c r="H264"/>
  <c r="H265"/>
  <c r="H259"/>
  <c r="I264"/>
  <c r="D264"/>
  <c r="D262"/>
  <c r="E260"/>
  <c r="F260"/>
  <c r="F259"/>
  <c r="G260"/>
  <c r="H260"/>
  <c r="E261"/>
  <c r="E259"/>
  <c r="F261"/>
  <c r="G261"/>
  <c r="G259"/>
  <c r="H261"/>
  <c r="I261"/>
  <c r="D260"/>
  <c r="D259"/>
  <c r="E256"/>
  <c r="F256"/>
  <c r="F258"/>
  <c r="G256"/>
  <c r="H256"/>
  <c r="I256"/>
  <c r="E257"/>
  <c r="F257"/>
  <c r="G257"/>
  <c r="G258"/>
  <c r="H257"/>
  <c r="I257"/>
  <c r="I258"/>
  <c r="D257"/>
  <c r="D256"/>
  <c r="E254"/>
  <c r="F254"/>
  <c r="G254"/>
  <c r="H254"/>
  <c r="I254"/>
  <c r="D254"/>
  <c r="E253"/>
  <c r="F253"/>
  <c r="F255"/>
  <c r="G253"/>
  <c r="H253"/>
  <c r="I253"/>
  <c r="E251"/>
  <c r="F251"/>
  <c r="G251"/>
  <c r="H251"/>
  <c r="I251"/>
  <c r="D251"/>
  <c r="E250"/>
  <c r="E252"/>
  <c r="F250"/>
  <c r="G250"/>
  <c r="H250"/>
  <c r="I250"/>
  <c r="I252"/>
  <c r="D250"/>
  <c r="E242"/>
  <c r="F242"/>
  <c r="G242"/>
  <c r="H242"/>
  <c r="I242"/>
  <c r="K229"/>
  <c r="J229"/>
  <c r="K228"/>
  <c r="J228"/>
  <c r="K227"/>
  <c r="J227"/>
  <c r="K226"/>
  <c r="J226"/>
  <c r="K224"/>
  <c r="J224"/>
  <c r="K223"/>
  <c r="J223"/>
  <c r="K222"/>
  <c r="K221"/>
  <c r="J222"/>
  <c r="J221"/>
  <c r="K219"/>
  <c r="J219"/>
  <c r="K218"/>
  <c r="J218"/>
  <c r="J220"/>
  <c r="J213"/>
  <c r="J215"/>
  <c r="K215"/>
  <c r="K217"/>
  <c r="K213"/>
  <c r="J216"/>
  <c r="K216"/>
  <c r="K214"/>
  <c r="J214"/>
  <c r="E172"/>
  <c r="F172"/>
  <c r="G172"/>
  <c r="H172"/>
  <c r="I172"/>
  <c r="D172"/>
  <c r="K169"/>
  <c r="J169"/>
  <c r="E124"/>
  <c r="E123"/>
  <c r="F124"/>
  <c r="F123"/>
  <c r="G124"/>
  <c r="G123"/>
  <c r="H124"/>
  <c r="H123"/>
  <c r="I124"/>
  <c r="I123"/>
  <c r="D124"/>
  <c r="D123"/>
  <c r="E116"/>
  <c r="F116"/>
  <c r="G116"/>
  <c r="H116"/>
  <c r="I116"/>
  <c r="D116"/>
  <c r="E98"/>
  <c r="F98"/>
  <c r="G98"/>
  <c r="H98"/>
  <c r="I98"/>
  <c r="D98"/>
  <c r="K56"/>
  <c r="J56"/>
  <c r="J261"/>
  <c r="K170"/>
  <c r="J170"/>
  <c r="E152"/>
  <c r="E151"/>
  <c r="E147"/>
  <c r="F152"/>
  <c r="F151"/>
  <c r="F147"/>
  <c r="G152"/>
  <c r="G151"/>
  <c r="G147"/>
  <c r="H152"/>
  <c r="H151"/>
  <c r="H147"/>
  <c r="I152"/>
  <c r="I151"/>
  <c r="I147"/>
  <c r="D152"/>
  <c r="D151"/>
  <c r="D147"/>
  <c r="J141"/>
  <c r="E137"/>
  <c r="E136"/>
  <c r="K136"/>
  <c r="K139"/>
  <c r="J139"/>
  <c r="J137"/>
  <c r="J105"/>
  <c r="J17"/>
  <c r="K17"/>
  <c r="J176"/>
  <c r="K176"/>
  <c r="J129"/>
  <c r="J118"/>
  <c r="K118"/>
  <c r="K113"/>
  <c r="J113"/>
  <c r="D73"/>
  <c r="K74"/>
  <c r="J74"/>
  <c r="K57"/>
  <c r="J57"/>
  <c r="K183"/>
  <c r="K184"/>
  <c r="J183"/>
  <c r="J187"/>
  <c r="J184"/>
  <c r="K241"/>
  <c r="K240"/>
  <c r="K242"/>
  <c r="J240"/>
  <c r="K239"/>
  <c r="J153"/>
  <c r="J154"/>
  <c r="J155"/>
  <c r="J156"/>
  <c r="K153"/>
  <c r="K154"/>
  <c r="K155"/>
  <c r="K156"/>
  <c r="J119"/>
  <c r="J116"/>
  <c r="K119"/>
  <c r="K69"/>
  <c r="J69"/>
  <c r="K47"/>
  <c r="K251"/>
  <c r="J47"/>
  <c r="J46"/>
  <c r="F21"/>
  <c r="F16"/>
  <c r="F15"/>
  <c r="G21"/>
  <c r="G16"/>
  <c r="G15"/>
  <c r="H21"/>
  <c r="H16"/>
  <c r="H15"/>
  <c r="I21"/>
  <c r="I16"/>
  <c r="I15"/>
  <c r="J19"/>
  <c r="J21"/>
  <c r="J16"/>
  <c r="J15"/>
  <c r="J20"/>
  <c r="K19"/>
  <c r="K20"/>
  <c r="K18"/>
  <c r="J18"/>
  <c r="I39"/>
  <c r="I44"/>
  <c r="I40"/>
  <c r="I41"/>
  <c r="I42"/>
  <c r="D39"/>
  <c r="D41"/>
  <c r="D42"/>
  <c r="D43"/>
  <c r="D44"/>
  <c r="D40"/>
  <c r="K67"/>
  <c r="K68"/>
  <c r="K270"/>
  <c r="K96"/>
  <c r="K86"/>
  <c r="J66"/>
  <c r="J163"/>
  <c r="J164"/>
  <c r="K173"/>
  <c r="K165"/>
  <c r="I111"/>
  <c r="K161"/>
  <c r="K193"/>
  <c r="E164"/>
  <c r="K115"/>
  <c r="E108"/>
  <c r="K49"/>
  <c r="K51"/>
  <c r="E21"/>
  <c r="E16"/>
  <c r="E15"/>
  <c r="E39"/>
  <c r="K39"/>
  <c r="J121"/>
  <c r="J60"/>
  <c r="J161"/>
  <c r="J109"/>
  <c r="J111"/>
  <c r="J115"/>
  <c r="J68"/>
  <c r="J270"/>
  <c r="J70"/>
  <c r="J99"/>
  <c r="J120"/>
  <c r="D54"/>
  <c r="J174"/>
  <c r="K81"/>
  <c r="K80"/>
  <c r="J81"/>
  <c r="J80"/>
  <c r="F214"/>
  <c r="G214"/>
  <c r="H214"/>
  <c r="H245"/>
  <c r="H238"/>
  <c r="J245"/>
  <c r="J247"/>
  <c r="K245"/>
  <c r="K247"/>
  <c r="J84"/>
  <c r="J269"/>
  <c r="K84"/>
  <c r="K269"/>
  <c r="E40"/>
  <c r="E41"/>
  <c r="K41"/>
  <c r="E167"/>
  <c r="E160"/>
  <c r="E159"/>
  <c r="E135"/>
  <c r="J128"/>
  <c r="J124"/>
  <c r="J123"/>
  <c r="K128"/>
  <c r="K129"/>
  <c r="K124"/>
  <c r="K123"/>
  <c r="K175"/>
  <c r="K99"/>
  <c r="K120"/>
  <c r="J185"/>
  <c r="J199"/>
  <c r="J200"/>
  <c r="J198"/>
  <c r="J192"/>
  <c r="J202"/>
  <c r="J196"/>
  <c r="J194"/>
  <c r="J193"/>
  <c r="J201"/>
  <c r="K185"/>
  <c r="K194"/>
  <c r="K196"/>
  <c r="K188"/>
  <c r="K198"/>
  <c r="K192"/>
  <c r="K200"/>
  <c r="K202"/>
  <c r="K201"/>
  <c r="J96"/>
  <c r="J86"/>
  <c r="J91"/>
  <c r="J49"/>
  <c r="J52"/>
  <c r="J92"/>
  <c r="J94"/>
  <c r="J95"/>
  <c r="J93"/>
  <c r="J61"/>
  <c r="J62"/>
  <c r="J262"/>
  <c r="J64"/>
  <c r="J264"/>
  <c r="J87"/>
  <c r="J88"/>
  <c r="J89"/>
  <c r="J71"/>
  <c r="J272"/>
  <c r="J165"/>
  <c r="J167"/>
  <c r="J166"/>
  <c r="J173"/>
  <c r="J172"/>
  <c r="J177"/>
  <c r="J100"/>
  <c r="J98"/>
  <c r="J125"/>
  <c r="J126"/>
  <c r="J110"/>
  <c r="J257"/>
  <c r="J106"/>
  <c r="J107"/>
  <c r="J104"/>
  <c r="J103"/>
  <c r="J102"/>
  <c r="J117"/>
  <c r="J267"/>
  <c r="J131"/>
  <c r="J132"/>
  <c r="J133"/>
  <c r="K91"/>
  <c r="K52"/>
  <c r="K92"/>
  <c r="K93"/>
  <c r="K63"/>
  <c r="K263"/>
  <c r="K64"/>
  <c r="K264"/>
  <c r="K66"/>
  <c r="K267"/>
  <c r="K87"/>
  <c r="K88"/>
  <c r="K71"/>
  <c r="K272"/>
  <c r="K274"/>
  <c r="K72"/>
  <c r="K166"/>
  <c r="K163"/>
  <c r="K254"/>
  <c r="K174"/>
  <c r="K177"/>
  <c r="K125"/>
  <c r="K126"/>
  <c r="K106"/>
  <c r="K107"/>
  <c r="K117"/>
  <c r="K116"/>
  <c r="K121"/>
  <c r="K131"/>
  <c r="K132"/>
  <c r="K133"/>
  <c r="F39"/>
  <c r="F44"/>
  <c r="F41"/>
  <c r="F42"/>
  <c r="F40"/>
  <c r="F108"/>
  <c r="F111"/>
  <c r="F104"/>
  <c r="F103"/>
  <c r="F102"/>
  <c r="F164"/>
  <c r="F167"/>
  <c r="F135"/>
  <c r="G39"/>
  <c r="G44"/>
  <c r="G41"/>
  <c r="G42"/>
  <c r="G40"/>
  <c r="G108"/>
  <c r="G111"/>
  <c r="G104"/>
  <c r="G103"/>
  <c r="G102"/>
  <c r="G164"/>
  <c r="G167"/>
  <c r="G135"/>
  <c r="H39"/>
  <c r="H41"/>
  <c r="H42"/>
  <c r="H43"/>
  <c r="H44"/>
  <c r="H40"/>
  <c r="H108"/>
  <c r="H111"/>
  <c r="H104"/>
  <c r="H103"/>
  <c r="H102"/>
  <c r="H164"/>
  <c r="H167"/>
  <c r="H135"/>
  <c r="I164"/>
  <c r="I160"/>
  <c r="I159"/>
  <c r="I108"/>
  <c r="I135"/>
  <c r="D167"/>
  <c r="D108"/>
  <c r="D135"/>
  <c r="E48"/>
  <c r="E73"/>
  <c r="D65"/>
  <c r="I65"/>
  <c r="I59"/>
  <c r="I73"/>
  <c r="I51"/>
  <c r="I45"/>
  <c r="F187"/>
  <c r="G187"/>
  <c r="H187"/>
  <c r="E134"/>
  <c r="F134"/>
  <c r="G134"/>
  <c r="H134"/>
  <c r="I134"/>
  <c r="D134"/>
  <c r="F215"/>
  <c r="F217"/>
  <c r="G215"/>
  <c r="G216"/>
  <c r="H215"/>
  <c r="F216"/>
  <c r="H216"/>
  <c r="F218"/>
  <c r="F220"/>
  <c r="G218"/>
  <c r="H218"/>
  <c r="H220"/>
  <c r="H213"/>
  <c r="F219"/>
  <c r="G219"/>
  <c r="H219"/>
  <c r="F222"/>
  <c r="F221"/>
  <c r="G222"/>
  <c r="H222"/>
  <c r="H221"/>
  <c r="F223"/>
  <c r="G223"/>
  <c r="G221"/>
  <c r="H223"/>
  <c r="F224"/>
  <c r="G224"/>
  <c r="H224"/>
  <c r="F226"/>
  <c r="G226"/>
  <c r="H226"/>
  <c r="F227"/>
  <c r="G227"/>
  <c r="H227"/>
  <c r="F229"/>
  <c r="G229"/>
  <c r="H229"/>
  <c r="D217"/>
  <c r="F48"/>
  <c r="F45"/>
  <c r="F24"/>
  <c r="F23"/>
  <c r="F51"/>
  <c r="F54"/>
  <c r="F65"/>
  <c r="F59"/>
  <c r="F73"/>
  <c r="G48"/>
  <c r="G45"/>
  <c r="G24"/>
  <c r="G23"/>
  <c r="G51"/>
  <c r="G54"/>
  <c r="G65"/>
  <c r="G59"/>
  <c r="G73"/>
  <c r="H48"/>
  <c r="H51"/>
  <c r="H54"/>
  <c r="H65"/>
  <c r="H59"/>
  <c r="H73"/>
  <c r="E197"/>
  <c r="E191"/>
  <c r="F190"/>
  <c r="F197"/>
  <c r="F191"/>
  <c r="F180"/>
  <c r="G190"/>
  <c r="G197"/>
  <c r="G191"/>
  <c r="H190"/>
  <c r="H197"/>
  <c r="H191"/>
  <c r="I190"/>
  <c r="I197"/>
  <c r="I191"/>
  <c r="K32"/>
  <c r="K36"/>
  <c r="K33"/>
  <c r="K34"/>
  <c r="J32"/>
  <c r="J33"/>
  <c r="J34"/>
  <c r="J35"/>
  <c r="J36"/>
  <c r="I35"/>
  <c r="I36"/>
  <c r="H35"/>
  <c r="H36"/>
  <c r="G35"/>
  <c r="G36"/>
  <c r="F35"/>
  <c r="F36"/>
  <c r="E35"/>
  <c r="E36"/>
  <c r="D35"/>
  <c r="D36"/>
  <c r="J25"/>
  <c r="J29"/>
  <c r="J26"/>
  <c r="J27"/>
  <c r="K25"/>
  <c r="K26"/>
  <c r="K27"/>
  <c r="E89"/>
  <c r="F89"/>
  <c r="G89"/>
  <c r="H89"/>
  <c r="I89"/>
  <c r="D89"/>
  <c r="F94"/>
  <c r="F95"/>
  <c r="F28"/>
  <c r="F29"/>
  <c r="I94"/>
  <c r="I95"/>
  <c r="H94"/>
  <c r="H95"/>
  <c r="G94"/>
  <c r="G95"/>
  <c r="E94"/>
  <c r="E95"/>
  <c r="D94"/>
  <c r="D95"/>
  <c r="E28"/>
  <c r="E29"/>
  <c r="G28"/>
  <c r="G29"/>
  <c r="H28"/>
  <c r="H29"/>
  <c r="I28"/>
  <c r="I29"/>
  <c r="K28"/>
  <c r="K29"/>
  <c r="D28"/>
  <c r="D29"/>
  <c r="D21"/>
  <c r="D16"/>
  <c r="D15"/>
  <c r="I217"/>
  <c r="J67"/>
  <c r="J72"/>
  <c r="J273"/>
  <c r="J186"/>
  <c r="D187"/>
  <c r="K50"/>
  <c r="K70"/>
  <c r="E111"/>
  <c r="E104"/>
  <c r="E103"/>
  <c r="E102"/>
  <c r="K109"/>
  <c r="K111"/>
  <c r="I54"/>
  <c r="J182"/>
  <c r="K182"/>
  <c r="E190"/>
  <c r="D48"/>
  <c r="D45"/>
  <c r="K62"/>
  <c r="K262"/>
  <c r="K265"/>
  <c r="K259"/>
  <c r="I187"/>
  <c r="J195"/>
  <c r="J197"/>
  <c r="J191"/>
  <c r="J180"/>
  <c r="J179"/>
  <c r="D197"/>
  <c r="D191"/>
  <c r="J189"/>
  <c r="K53"/>
  <c r="K54"/>
  <c r="E54"/>
  <c r="K195"/>
  <c r="K197"/>
  <c r="J50"/>
  <c r="J51"/>
  <c r="K186"/>
  <c r="E187"/>
  <c r="E181"/>
  <c r="K100"/>
  <c r="K98"/>
  <c r="D164"/>
  <c r="D160"/>
  <c r="D159"/>
  <c r="I220"/>
  <c r="I213"/>
  <c r="I212"/>
  <c r="E220"/>
  <c r="E217"/>
  <c r="E213"/>
  <c r="E212"/>
  <c r="E51"/>
  <c r="E65"/>
  <c r="E59"/>
  <c r="D111"/>
  <c r="D104"/>
  <c r="D103"/>
  <c r="D102"/>
  <c r="I167"/>
  <c r="K162"/>
  <c r="K164"/>
  <c r="K160"/>
  <c r="K159"/>
  <c r="K61"/>
  <c r="K261"/>
  <c r="J53"/>
  <c r="J54"/>
  <c r="K199"/>
  <c r="E42"/>
  <c r="E43"/>
  <c r="G43"/>
  <c r="J42"/>
  <c r="J175"/>
  <c r="G220"/>
  <c r="G213"/>
  <c r="G212"/>
  <c r="J134"/>
  <c r="K167"/>
  <c r="J39"/>
  <c r="K134"/>
  <c r="J41"/>
  <c r="J43"/>
  <c r="J48"/>
  <c r="H258"/>
  <c r="J40"/>
  <c r="K220"/>
  <c r="J217"/>
  <c r="G217"/>
  <c r="K108"/>
  <c r="G255"/>
  <c r="D258"/>
  <c r="K135"/>
  <c r="E258"/>
  <c r="D252"/>
  <c r="K73"/>
  <c r="K141"/>
  <c r="K137"/>
  <c r="K273"/>
  <c r="J260"/>
  <c r="J254"/>
  <c r="J251"/>
  <c r="J250"/>
  <c r="G245"/>
  <c r="G238"/>
  <c r="H181"/>
  <c r="H180"/>
  <c r="F181"/>
  <c r="F245"/>
  <c r="F238"/>
  <c r="G181"/>
  <c r="G180"/>
  <c r="K172"/>
  <c r="K187"/>
  <c r="K35"/>
  <c r="H45"/>
  <c r="H24"/>
  <c r="H23"/>
  <c r="J152"/>
  <c r="J151"/>
  <c r="E45"/>
  <c r="G160"/>
  <c r="G159"/>
  <c r="H160"/>
  <c r="H159"/>
  <c r="F160"/>
  <c r="F159"/>
  <c r="G265"/>
  <c r="H217"/>
  <c r="J252"/>
  <c r="K40"/>
  <c r="H255"/>
  <c r="E255"/>
  <c r="I255"/>
  <c r="I265"/>
  <c r="F274"/>
  <c r="K89"/>
  <c r="D274"/>
  <c r="F265"/>
  <c r="H252"/>
  <c r="G252"/>
  <c r="F252"/>
  <c r="F43"/>
  <c r="K94"/>
  <c r="K95"/>
  <c r="J28"/>
  <c r="J135"/>
  <c r="K152"/>
  <c r="K151"/>
  <c r="J253"/>
  <c r="J255"/>
  <c r="D253"/>
  <c r="D255"/>
  <c r="I237"/>
  <c r="K253"/>
  <c r="K255"/>
  <c r="K42"/>
  <c r="J210"/>
  <c r="I43"/>
  <c r="K21"/>
  <c r="K16"/>
  <c r="K15"/>
  <c r="K256"/>
  <c r="K190"/>
  <c r="K181"/>
  <c r="F237"/>
  <c r="J274"/>
  <c r="H14"/>
  <c r="G237"/>
  <c r="H237"/>
  <c r="D237"/>
  <c r="G179"/>
  <c r="G158"/>
  <c r="H212"/>
  <c r="H179"/>
  <c r="F213"/>
  <c r="F212"/>
  <c r="F179"/>
  <c r="J160"/>
  <c r="J159"/>
  <c r="G14"/>
  <c r="F14"/>
  <c r="K104"/>
  <c r="K103"/>
  <c r="K102"/>
  <c r="K250"/>
  <c r="K252"/>
  <c r="K258"/>
  <c r="K43"/>
  <c r="K44"/>
  <c r="J44"/>
  <c r="E180"/>
  <c r="E179"/>
  <c r="I24"/>
  <c r="I23"/>
  <c r="K65"/>
  <c r="J108"/>
  <c r="D137"/>
  <c r="D136"/>
  <c r="J136"/>
  <c r="J73"/>
  <c r="I104"/>
  <c r="I103"/>
  <c r="I102"/>
  <c r="J256"/>
  <c r="J258"/>
  <c r="J268"/>
  <c r="E44"/>
  <c r="D190"/>
  <c r="D181"/>
  <c r="D180"/>
  <c r="D179"/>
  <c r="J190"/>
  <c r="I181"/>
  <c r="D59"/>
  <c r="D24"/>
  <c r="K60"/>
  <c r="K260"/>
  <c r="K268"/>
  <c r="J63"/>
  <c r="J239"/>
  <c r="J242"/>
  <c r="I259"/>
  <c r="K191"/>
  <c r="J238"/>
  <c r="J237"/>
  <c r="K212"/>
  <c r="J212"/>
  <c r="K210"/>
  <c r="K204"/>
  <c r="E275"/>
  <c r="E276"/>
  <c r="E158"/>
  <c r="I180"/>
  <c r="I179"/>
  <c r="I275"/>
  <c r="J181"/>
  <c r="K147"/>
  <c r="J147"/>
  <c r="J45"/>
  <c r="K48"/>
  <c r="K45"/>
  <c r="I14"/>
  <c r="K180"/>
  <c r="H158"/>
  <c r="H275"/>
  <c r="H276"/>
  <c r="D23"/>
  <c r="D14"/>
  <c r="F275"/>
  <c r="F276"/>
  <c r="F158"/>
  <c r="I158"/>
  <c r="G275"/>
  <c r="G276"/>
  <c r="J263"/>
  <c r="J265"/>
  <c r="J259"/>
  <c r="J65"/>
  <c r="J59"/>
  <c r="J24"/>
  <c r="K59"/>
  <c r="I276"/>
  <c r="E24" i="2"/>
  <c r="E21" s="1"/>
  <c r="K179" i="3"/>
  <c r="K275"/>
  <c r="K158"/>
  <c r="J23"/>
  <c r="J14"/>
  <c r="K24"/>
  <c r="E24"/>
  <c r="E23"/>
  <c r="K276"/>
  <c r="K23"/>
  <c r="K14"/>
  <c r="E14"/>
  <c r="J275"/>
  <c r="J276"/>
  <c r="J158"/>
  <c r="D275"/>
  <c r="D276"/>
  <c r="D24" i="2"/>
  <c r="D13" s="1"/>
  <c r="D158" i="3"/>
  <c r="E13" i="2" l="1"/>
</calcChain>
</file>

<file path=xl/sharedStrings.xml><?xml version="1.0" encoding="utf-8"?>
<sst xmlns="http://schemas.openxmlformats.org/spreadsheetml/2006/main" count="525" uniqueCount="300">
  <si>
    <t>Месячный отчет об исполнении бюджета</t>
  </si>
  <si>
    <t>на 01.05.05</t>
  </si>
  <si>
    <t>Периодичность: месячная</t>
  </si>
  <si>
    <t>Единица измерения: руб.</t>
  </si>
  <si>
    <t>Наименование показателя</t>
  </si>
  <si>
    <t>Исполнено</t>
  </si>
  <si>
    <t>Неисполненные назначения</t>
  </si>
  <si>
    <t>2. Расходы бюджета</t>
  </si>
  <si>
    <t>Код расхода по ФКР (Р/ПР, ЦСР, ВР), ЭКР</t>
  </si>
  <si>
    <t>Бюджетные ассигнования, утвержденные законом о бюджете, нормативными правовыми актами о бюджете</t>
  </si>
  <si>
    <t>Лимиты бюджетных обязательств</t>
  </si>
  <si>
    <t>по ассигнованиям</t>
  </si>
  <si>
    <t>по лимитам бюджетных обязательств</t>
  </si>
  <si>
    <t>Форма по ОКУД</t>
  </si>
  <si>
    <t xml:space="preserve">     Форма 0503128  с.2</t>
  </si>
  <si>
    <t xml:space="preserve">                        Форма 0503128  с.3</t>
  </si>
  <si>
    <t>Заработная плата</t>
  </si>
  <si>
    <t>Услуги связи</t>
  </si>
  <si>
    <t xml:space="preserve">Транспортные услуги </t>
  </si>
  <si>
    <t>Коммунальные услуги</t>
  </si>
  <si>
    <t>Услуги по содержанию имущества</t>
  </si>
  <si>
    <t>Прочие услуги</t>
  </si>
  <si>
    <t>Прочие расходы</t>
  </si>
  <si>
    <t>Увеличение стоимости основных средств</t>
  </si>
  <si>
    <t>Перечисления другим бюджетам бюджетной системы Российской Федерации</t>
  </si>
  <si>
    <t>ВСЕГО</t>
  </si>
  <si>
    <t xml:space="preserve">Заработная плата </t>
  </si>
  <si>
    <t>оплата труда работников по  ЕТС</t>
  </si>
  <si>
    <t>на компенсацию расходов по оплате стоимости проезда и провоза багажа к месту использования отпуска и обратно</t>
  </si>
  <si>
    <t>суточные при служебных командировках и командировках на курсы повышения квалификации</t>
  </si>
  <si>
    <t>потребление электроэнергии</t>
  </si>
  <si>
    <t>водоснабжение</t>
  </si>
  <si>
    <t>прочих расходных материалов и предметов снабжения</t>
  </si>
  <si>
    <t>Увеличение стоимости материальных запасов - ГСМ</t>
  </si>
  <si>
    <t>Коммун. услуги в потребление тепловой энергии</t>
  </si>
  <si>
    <t>02030013600500212010</t>
  </si>
  <si>
    <t>код строки</t>
  </si>
  <si>
    <t>2</t>
  </si>
  <si>
    <t>07094529900001310000</t>
  </si>
  <si>
    <t>3. Источники финансирования дефицитов бюджетов</t>
  </si>
  <si>
    <t xml:space="preserve"> Наименование показателя</t>
  </si>
  <si>
    <t>Код
стро-
ки</t>
  </si>
  <si>
    <t>Код источника финансирования
по КИВФ, КИВнФ</t>
  </si>
  <si>
    <t>Утвержденные бюджетные назначения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</si>
  <si>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</si>
  <si>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</si>
  <si>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</si>
  <si>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</si>
  <si>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1</t>
  </si>
  <si>
    <t>3</t>
  </si>
  <si>
    <t>Источники финансирования дефицита бюджетов - всего</t>
  </si>
  <si>
    <t>х</t>
  </si>
  <si>
    <t>-</t>
  </si>
  <si>
    <t>в том числе:</t>
  </si>
  <si>
    <t>Источники внутреннего финансирования бюджетов</t>
  </si>
  <si>
    <t xml:space="preserve">   из них:</t>
  </si>
  <si>
    <t>Источники внешнего финансирования бюджетов</t>
  </si>
  <si>
    <t xml:space="preserve">   из них</t>
  </si>
  <si>
    <t>Изменение остатков средств</t>
  </si>
  <si>
    <t>Изменение остатков по расчетам          (стр.810 + 820)</t>
  </si>
  <si>
    <t>изменение остатков по расчетам с органами, организующими исполнение бюджетов
(стр.811 + 812)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</si>
  <si>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</si>
  <si>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</si>
  <si>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внутренним расчетам (стр.821 + стр. 822)</t>
  </si>
  <si>
    <t xml:space="preserve">  в том числе:</t>
  </si>
  <si>
    <t>увеличение остатков по внутренним расчетам</t>
  </si>
  <si>
    <t xml:space="preserve">уменьшение остатков по внутренним расчетам </t>
  </si>
  <si>
    <t>Глава администрации</t>
  </si>
  <si>
    <t>Главный бухгалтер</t>
  </si>
  <si>
    <t>А.Н. Саенко</t>
  </si>
  <si>
    <t>01040020460500310000</t>
  </si>
  <si>
    <t>03145224891500310000</t>
  </si>
  <si>
    <t>03149224801500310000</t>
  </si>
  <si>
    <t>СВОД</t>
  </si>
  <si>
    <t>211010</t>
  </si>
  <si>
    <t>211020</t>
  </si>
  <si>
    <t>212010</t>
  </si>
  <si>
    <t>212020</t>
  </si>
  <si>
    <t>213010</t>
  </si>
  <si>
    <t>213020</t>
  </si>
  <si>
    <t>222000</t>
  </si>
  <si>
    <t>223010</t>
  </si>
  <si>
    <t>223020</t>
  </si>
  <si>
    <t>223030</t>
  </si>
  <si>
    <t>225020</t>
  </si>
  <si>
    <t>290000</t>
  </si>
  <si>
    <t>310000</t>
  </si>
  <si>
    <t>340030</t>
  </si>
  <si>
    <t>340050</t>
  </si>
  <si>
    <t>251000</t>
  </si>
  <si>
    <t>итого  213</t>
  </si>
  <si>
    <t>итого 211</t>
  </si>
  <si>
    <t>итого 212</t>
  </si>
  <si>
    <t>итого 223</t>
  </si>
  <si>
    <t>итого 340</t>
  </si>
  <si>
    <t>итого 213</t>
  </si>
  <si>
    <t>О.Н. Башкирова</t>
  </si>
  <si>
    <t>05036000500500225020</t>
  </si>
  <si>
    <t>01020020300500212010</t>
  </si>
  <si>
    <t>01028770101500211010</t>
  </si>
  <si>
    <t>01028770101500213010</t>
  </si>
  <si>
    <t>01028770101500213020</t>
  </si>
  <si>
    <t>01020000000500211010</t>
  </si>
  <si>
    <t>01020000000500212010</t>
  </si>
  <si>
    <t>01020000000500213010</t>
  </si>
  <si>
    <t>01020000000500213020</t>
  </si>
  <si>
    <t>Итого 0102 8770101:</t>
  </si>
  <si>
    <t>01048770101500211010</t>
  </si>
  <si>
    <t>01048770101500213010</t>
  </si>
  <si>
    <t>01048770101500213020</t>
  </si>
  <si>
    <t>ВСЕГО по разделу 01 02</t>
  </si>
  <si>
    <t>СВОД 0102</t>
  </si>
  <si>
    <t>08014409201001241021</t>
  </si>
  <si>
    <t xml:space="preserve"> - страховые взносы в федеральный бюджет (22%)</t>
  </si>
  <si>
    <t xml:space="preserve"> - страховые взносы в прочие фонды (8,2%)</t>
  </si>
  <si>
    <t>Прочих расходных материалов и предметов снабжения</t>
  </si>
  <si>
    <t>241000</t>
  </si>
  <si>
    <t>225010</t>
  </si>
  <si>
    <t>Прочие расходы (Резервный фонд)</t>
  </si>
  <si>
    <t>04070700400013226000</t>
  </si>
  <si>
    <t>с 01.10.2012</t>
  </si>
  <si>
    <t>01045226202500225020</t>
  </si>
  <si>
    <t>01047956015500225020</t>
  </si>
  <si>
    <t>04070700400013340030</t>
  </si>
  <si>
    <t>04070700400013340050</t>
  </si>
  <si>
    <t>ВСЕГО 0407</t>
  </si>
  <si>
    <t>01028650000500211010</t>
  </si>
  <si>
    <t>01028650000500213010</t>
  </si>
  <si>
    <t>01028650000500213020</t>
  </si>
  <si>
    <t>Итого 0102 8650000:</t>
  </si>
  <si>
    <t>Итого 0104 8770101500:</t>
  </si>
  <si>
    <t>прочие</t>
  </si>
  <si>
    <t>0310</t>
  </si>
  <si>
    <t>01130447514244310000</t>
  </si>
  <si>
    <t>02030445118122226000</t>
  </si>
  <si>
    <t>02030445118244310000</t>
  </si>
  <si>
    <t>08010110061611241023</t>
  </si>
  <si>
    <t>08010110061611241120</t>
  </si>
  <si>
    <t>08010120061611241082</t>
  </si>
  <si>
    <t>08010120061611241120</t>
  </si>
  <si>
    <t>01040410021852310000</t>
  </si>
  <si>
    <t xml:space="preserve">Прочие услуги 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</si>
  <si>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</si>
  <si>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</si>
  <si>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</si>
  <si>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</si>
  <si>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</si>
  <si>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</si>
  <si>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0409</t>
  </si>
  <si>
    <t>НАЦИОНАЛЬНАЯ БЕЗОПАСНОСТЬ И ПРАВООХРАНИТЕЛЬНАЯ ДЕЯТЕЛЬНОСТЬ</t>
  </si>
  <si>
    <t>Обеспечение пожарной безопасности</t>
  </si>
  <si>
    <t>Оплата работ, услуг</t>
  </si>
  <si>
    <t>НАЦИОНАЛЬНАЯ ЭКОНОМИКА</t>
  </si>
  <si>
    <t>Дорожное хозяйство (дорожные фонды)</t>
  </si>
  <si>
    <t>ЖИЛИЩНО-КОММУНАЛЬНОЕ ХОЗЯЙСТВО</t>
  </si>
  <si>
    <t>Благоустройство</t>
  </si>
  <si>
    <t>КУЛЬТУРА, КИНЕМАТОГРАФИЯ</t>
  </si>
  <si>
    <t>Другие вопросы в области культуры, кинематографии</t>
  </si>
  <si>
    <t>Поступление нефинансовых активов</t>
  </si>
  <si>
    <t>Оплата труда и начисления на выплаты по оплате труда</t>
  </si>
  <si>
    <t>Начисления на выплаты по оплате труда</t>
  </si>
  <si>
    <t>Прочие выплаты</t>
  </si>
  <si>
    <t xml:space="preserve">000 0503 0000000 000 220 </t>
  </si>
  <si>
    <t xml:space="preserve">000 0503 0000000 000 000 </t>
  </si>
  <si>
    <t xml:space="preserve">000 0500 0000000 000 000 </t>
  </si>
  <si>
    <t xml:space="preserve">000 0800 0000000 000 000 </t>
  </si>
  <si>
    <t xml:space="preserve">000 0804 0000000 000 000 </t>
  </si>
  <si>
    <t xml:space="preserve">000 0804 0000000 000 210 </t>
  </si>
  <si>
    <t xml:space="preserve">000 0104 0000000 000 220 </t>
  </si>
  <si>
    <t>Увеличение стоимости материальных запасов</t>
  </si>
  <si>
    <t>Обеспечение деятельности (оказание услуг) подведомственных учреждений в рамках подпрограммы "  "Создание уловий для организации досуга и обеспечение жителей сельсовета услугами организации культуры" муниципальной программы  "Развитие культуры  муниципального образования Недокурский  сельсовет" на 2014-2016 годы</t>
  </si>
  <si>
    <t>Обеспечение деятельности (оказание услуг) подведомственных учреждений в рамках подпрограммы    "Организация  и развитие  библиотечного обслуживания населения,  обеспечение  прав граждан на свободный доступ к информации" муниципальной программы"Развитие культуры  муниципального  образования Недокурский сельсовет "на 2014-2016 годы</t>
  </si>
  <si>
    <t>Культура</t>
  </si>
  <si>
    <t>0801</t>
  </si>
  <si>
    <t>Резервный фонд</t>
  </si>
  <si>
    <t>0111</t>
  </si>
  <si>
    <t>0113</t>
  </si>
  <si>
    <t>02</t>
  </si>
  <si>
    <t>0203</t>
  </si>
  <si>
    <t>03</t>
  </si>
  <si>
    <t>04</t>
  </si>
  <si>
    <t>Физическая культура и спорт</t>
  </si>
  <si>
    <t>Массовый спорт</t>
  </si>
  <si>
    <t>1102</t>
  </si>
  <si>
    <t>11</t>
  </si>
  <si>
    <t>0104</t>
  </si>
  <si>
    <t>0102</t>
  </si>
  <si>
    <t>01</t>
  </si>
  <si>
    <t>Софинансирование расходов по энергосбережению и повышению энергетической эффективности в рамках подпрограммы  "Энергосбережение и повышение энергетической эффективности на территории муниципального образования Недокурский сельсовет" на 2014-2016 годы муниципальной программы «Улучшение жизнедеятельности населения муниципального образования Недокурский сельсовет» на 2014-2016 годы</t>
  </si>
  <si>
    <t>Иные межбюджетные трансферты, выделяемые из бюджета поселения в районный бюджет на реализацию решения Недокурского сельского Совета депутатов "О передаче осуществления части полномочий органов местного самоуправления поселения органам местного самоуправления муниципального района (в области градостроительной деятельности)"  в рамках непрограмных расходов</t>
  </si>
  <si>
    <t>Увеличение стоимости материальных запасов (прочих расходных материалов и предметов снабжения)</t>
  </si>
  <si>
    <t>0102 0410022 121 211010</t>
  </si>
  <si>
    <t>0102 0410022 121 213010</t>
  </si>
  <si>
    <t>0102 0410022 121 213020</t>
  </si>
  <si>
    <t>0104 0410021 121 211010</t>
  </si>
  <si>
    <t>0104 0410021 121 211020</t>
  </si>
  <si>
    <t>0104 0410021 122 212010</t>
  </si>
  <si>
    <t>0104 0410021 122 212020</t>
  </si>
  <si>
    <t>0104 0410021 121 213010</t>
  </si>
  <si>
    <t>0104 0410021 121 213020</t>
  </si>
  <si>
    <t>0104 0410021 122 222000</t>
  </si>
  <si>
    <t>0104 0410021 244 222000</t>
  </si>
  <si>
    <t>0104 0410021 244 223010</t>
  </si>
  <si>
    <t>0104 0410021 244 223020</t>
  </si>
  <si>
    <t>0104 0410021 244 223030</t>
  </si>
  <si>
    <t>0104 0410021 244 225020</t>
  </si>
  <si>
    <t>0104 0410021 244 290000</t>
  </si>
  <si>
    <t>0104 0410021 244 340030</t>
  </si>
  <si>
    <t>0104 0410021 244 340050</t>
  </si>
  <si>
    <t>0104 0410021 852 290000</t>
  </si>
  <si>
    <t>0104 0424101 540 251000</t>
  </si>
  <si>
    <t>0111 0431011 870 290000</t>
  </si>
  <si>
    <t>0113 0447514 244 340050</t>
  </si>
  <si>
    <t>0203 0445118 121 211010</t>
  </si>
  <si>
    <t>0203 0445118 122 212020</t>
  </si>
  <si>
    <t>0203 0445118 121 213010</t>
  </si>
  <si>
    <t>0203 0445118 121 213020</t>
  </si>
  <si>
    <t>0203 0445118 122 222000</t>
  </si>
  <si>
    <t>0203 0445118 244 225020</t>
  </si>
  <si>
    <t>0203 0445118 244 340050</t>
  </si>
  <si>
    <t>0409 0327508 244 225020</t>
  </si>
  <si>
    <t>0503 0334901 244 223020</t>
  </si>
  <si>
    <t>0804 0134403 112 212010</t>
  </si>
  <si>
    <t>0804 0134403 111 211020</t>
  </si>
  <si>
    <t>0804 0134403 112 212020</t>
  </si>
  <si>
    <t>0804 0134403 111 213010</t>
  </si>
  <si>
    <t>0804 0134403 111 213020</t>
  </si>
  <si>
    <t>0804 0134403 112 222000</t>
  </si>
  <si>
    <t>0804 0134403 244 225020</t>
  </si>
  <si>
    <t>0804 0134403 244 340050</t>
  </si>
  <si>
    <t>0801 0110061 611 241021</t>
  </si>
  <si>
    <t>0801 0110061 611 241010</t>
  </si>
  <si>
    <t>0801 0110061 611 241022</t>
  </si>
  <si>
    <t>0801 0110061 611 241031</t>
  </si>
  <si>
    <t>0801 0110061 611 241032</t>
  </si>
  <si>
    <t>0801 0110061 611 241040</t>
  </si>
  <si>
    <t>0801 0110061 611 241050</t>
  </si>
  <si>
    <t>0801 0110061 611 241061</t>
  </si>
  <si>
    <t>0801 0110061 611 241062</t>
  </si>
  <si>
    <t>0801 0110061 611 241063</t>
  </si>
  <si>
    <t>0801 0110061 611 241082</t>
  </si>
  <si>
    <t>0801 0110061 611 241090</t>
  </si>
  <si>
    <t>0801 0110061 611 241110</t>
  </si>
  <si>
    <t>0801 0110061 611 241135</t>
  </si>
  <si>
    <t>0801 0120061 611 241010</t>
  </si>
  <si>
    <t>0801 0120061 611 241021</t>
  </si>
  <si>
    <t>0801 0120061 611 241022</t>
  </si>
  <si>
    <t>0801 0120061 611 241031</t>
  </si>
  <si>
    <t>0801 0120061 611 241032</t>
  </si>
  <si>
    <t>0801 0120061 611 241040</t>
  </si>
  <si>
    <t>0801 0120061 611 241050</t>
  </si>
  <si>
    <t>0801 0120061 611 241090</t>
  </si>
  <si>
    <t>0801 0120061 611 241110</t>
  </si>
  <si>
    <t>0801 0120061 611 241135</t>
  </si>
  <si>
    <t>1102 0200061 611 241010</t>
  </si>
  <si>
    <t>1102 0200061 611 241031</t>
  </si>
  <si>
    <t>1102 0200061 611 241032</t>
  </si>
  <si>
    <t>0104 0344932 244 226010</t>
  </si>
  <si>
    <t>0104 0344936 244 226010</t>
  </si>
  <si>
    <t>0104 0410021 122 226010</t>
  </si>
  <si>
    <t>0104 0410021 244 221010</t>
  </si>
  <si>
    <t>0104 0410021 244 226010</t>
  </si>
  <si>
    <t>0203 0445118 122 226010</t>
  </si>
  <si>
    <t>0203 0445118 244 226010</t>
  </si>
  <si>
    <t>0310 0314931 244 226010</t>
  </si>
  <si>
    <t>0310 0314934 244 226010</t>
  </si>
  <si>
    <t>0409 0324935 244 226010</t>
  </si>
  <si>
    <t>0503 0334905 244 226010</t>
  </si>
  <si>
    <t>0503 0334904 244 226010</t>
  </si>
  <si>
    <t>0804 0134403 112 226010</t>
  </si>
  <si>
    <t>0804 0134403 244 221010</t>
  </si>
  <si>
    <t>0804 0134403 244 226010</t>
  </si>
  <si>
    <t>0409 0324908 244 225020</t>
  </si>
  <si>
    <t>0409 0327508 244 226010</t>
  </si>
  <si>
    <t>226010</t>
  </si>
  <si>
    <t>221010</t>
  </si>
  <si>
    <t>0409 0324933 244 225020</t>
  </si>
  <si>
    <t>0104 0410021</t>
  </si>
  <si>
    <t>Функционирование органов местного самоуправления</t>
  </si>
  <si>
    <t xml:space="preserve"> 0102 0000000 000 210 </t>
  </si>
  <si>
    <t>Итого Начисления на выплаты по оплате труда</t>
  </si>
  <si>
    <t>0412 0447466 540 251000</t>
  </si>
  <si>
    <t>0501 0447462 540 251000</t>
  </si>
  <si>
    <t>Субсидия бюджетам муниципальных образований на обеспечение мероприятий по переселению граждан из аварийного жилищного фонда, за исключением средств, поступивших от государственной корпорации-Фонда содействия реформирования ЖКХ и средств краевого бюджета, направляемых на долевое финансирование в рамках непрограммных расходов</t>
  </si>
  <si>
    <t>Субсидия бюджетам муниципальных образований на обеспечение мероприятий  на подготовку генеральных планов городских и сельских поселений, на разработку проектов планировки и межевания земельных участков для жилищного строительства, формирование и постановку земельных участков на кадастровый учет в рамках подпрограммы "Стимулирование жилищного строительства на территории Красноярского края" государственной программы Красноярского края "Создание условий для обеспечения доступным  и комфортным жильем граждан Красноярского края"</t>
  </si>
  <si>
    <t>1102 0204506 612 241110</t>
  </si>
  <si>
    <t>1102 0207701 612 241090</t>
  </si>
  <si>
    <t>1102 0207701 612 241110</t>
  </si>
  <si>
    <t>1102 0207701 612 241120</t>
  </si>
  <si>
    <t>0801 0111021 611 241032</t>
  </si>
  <si>
    <t>0801 0121021 611 241010</t>
  </si>
  <si>
    <t>0801 0121021 611 241031</t>
  </si>
  <si>
    <t>0801 0121021 611 241032</t>
  </si>
  <si>
    <t>0801 0120061 611 241082</t>
  </si>
  <si>
    <t>Итого МРОТ</t>
  </si>
  <si>
    <t>1102 0200061 611 241090</t>
  </si>
  <si>
    <t>0104 0444936 244 226010</t>
  </si>
  <si>
    <t>0104 0447502 244 226010</t>
  </si>
  <si>
    <r>
      <rPr>
        <b/>
        <sz val="8"/>
        <rFont val="Times New Roman"/>
        <family val="1"/>
        <charset val="204"/>
      </rPr>
      <t>Непрограмные расходы</t>
    </r>
    <r>
      <rPr>
        <sz val="8"/>
        <rFont val="Times New Roman"/>
        <family val="1"/>
        <charset val="204"/>
      </rPr>
      <t xml:space="preserve">   на реализацию мероприятий по энергосбережению и повышению энергетической эффективности в связи с достижением наилучших показателей в области энергосбережения в рамках подпрограммы "Энергосбережение и повышение энергетической эффективности в Красноярском крае государственной программы Красноярского края "Реформирование и модернизация жилищно коммунального хозяйства и повышение энергетической эффективности"</t>
    </r>
  </si>
  <si>
    <t>02 июля 2014 г.</t>
  </si>
</sst>
</file>

<file path=xl/styles.xml><?xml version="1.0" encoding="utf-8"?>
<styleSheet xmlns="http://schemas.openxmlformats.org/spreadsheetml/2006/main">
  <numFmts count="2">
    <numFmt numFmtId="171" formatCode="_-* #,##0.00_$_-;\-* #,##0.00_$_-;_-* &quot;-&quot;??_$_-;_-@_-"/>
    <numFmt numFmtId="172" formatCode="000"/>
  </numFmts>
  <fonts count="28">
    <font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9"/>
      <name val="Arial Cyr"/>
      <family val="2"/>
      <charset val="204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u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0"/>
      <name val="Arial Cyr"/>
      <charset val="204"/>
    </font>
    <font>
      <sz val="10"/>
      <name val="Times New Roman"/>
      <family val="1"/>
      <charset val="204"/>
    </font>
    <font>
      <b/>
      <sz val="8"/>
      <name val="Arial Cyr"/>
      <charset val="204"/>
    </font>
    <font>
      <sz val="9"/>
      <color indexed="53"/>
      <name val="Times New Roman"/>
      <family val="1"/>
      <charset val="204"/>
    </font>
    <font>
      <b/>
      <sz val="9"/>
      <color indexed="53"/>
      <name val="Times New Roman"/>
      <family val="1"/>
      <charset val="204"/>
    </font>
    <font>
      <b/>
      <i/>
      <sz val="9"/>
      <color indexed="53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166">
    <xf numFmtId="0" fontId="0" fillId="0" borderId="0" xfId="0"/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 vertical="top" wrapText="1"/>
    </xf>
    <xf numFmtId="172" fontId="2" fillId="0" borderId="0" xfId="0" applyNumberFormat="1" applyFont="1" applyAlignment="1">
      <alignment horizontal="right" vertical="top"/>
    </xf>
    <xf numFmtId="4" fontId="2" fillId="0" borderId="0" xfId="0" applyNumberFormat="1" applyFont="1" applyAlignment="1">
      <alignment horizontal="right" vertical="top"/>
    </xf>
    <xf numFmtId="49" fontId="0" fillId="0" borderId="0" xfId="0" applyNumberFormat="1" applyAlignment="1">
      <alignment vertical="center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right"/>
    </xf>
    <xf numFmtId="172" fontId="2" fillId="0" borderId="2" xfId="0" applyNumberFormat="1" applyFont="1" applyBorder="1" applyAlignment="1">
      <alignment horizontal="right" vertical="top"/>
    </xf>
    <xf numFmtId="49" fontId="2" fillId="0" borderId="2" xfId="0" applyNumberFormat="1" applyFont="1" applyBorder="1" applyAlignment="1">
      <alignment horizontal="left" vertical="top"/>
    </xf>
    <xf numFmtId="4" fontId="2" fillId="0" borderId="2" xfId="0" applyNumberFormat="1" applyFont="1" applyBorder="1" applyAlignment="1">
      <alignment horizontal="right" vertical="top"/>
    </xf>
    <xf numFmtId="49" fontId="2" fillId="0" borderId="2" xfId="0" applyNumberFormat="1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top"/>
    </xf>
    <xf numFmtId="4" fontId="2" fillId="0" borderId="0" xfId="0" applyNumberFormat="1" applyFont="1" applyBorder="1" applyAlignment="1">
      <alignment horizontal="right" vertical="top"/>
    </xf>
    <xf numFmtId="49" fontId="5" fillId="0" borderId="0" xfId="0" applyNumberFormat="1" applyFont="1" applyAlignment="1">
      <alignment horizontal="left" vertical="top" wrapText="1"/>
    </xf>
    <xf numFmtId="172" fontId="5" fillId="0" borderId="0" xfId="0" applyNumberFormat="1" applyFont="1" applyAlignment="1">
      <alignment horizontal="right" vertical="top"/>
    </xf>
    <xf numFmtId="49" fontId="5" fillId="0" borderId="0" xfId="0" applyNumberFormat="1" applyFont="1" applyAlignment="1">
      <alignment horizontal="left" vertical="top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right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/>
    </xf>
    <xf numFmtId="4" fontId="5" fillId="0" borderId="2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Continuous"/>
    </xf>
    <xf numFmtId="2" fontId="2" fillId="0" borderId="0" xfId="0" applyNumberFormat="1" applyFont="1" applyAlignment="1">
      <alignment horizontal="center" vertical="center" wrapText="1"/>
    </xf>
    <xf numFmtId="4" fontId="2" fillId="0" borderId="2" xfId="0" applyNumberFormat="1" applyFont="1" applyBorder="1" applyAlignment="1">
      <alignment horizontal="left" vertical="top"/>
    </xf>
    <xf numFmtId="0" fontId="4" fillId="0" borderId="0" xfId="0" applyFont="1"/>
    <xf numFmtId="49" fontId="7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 horizontal="left" vertical="top"/>
    </xf>
    <xf numFmtId="49" fontId="8" fillId="0" borderId="0" xfId="0" applyNumberFormat="1" applyFont="1" applyFill="1" applyAlignment="1">
      <alignment horizontal="right"/>
    </xf>
    <xf numFmtId="49" fontId="8" fillId="0" borderId="0" xfId="0" applyNumberFormat="1" applyFont="1" applyFill="1" applyAlignment="1">
      <alignment horizontal="left" vertical="center"/>
    </xf>
    <xf numFmtId="49" fontId="10" fillId="0" borderId="0" xfId="0" applyNumberFormat="1" applyFont="1" applyFill="1" applyAlignment="1">
      <alignment horizontal="left" vertical="center"/>
    </xf>
    <xf numFmtId="49" fontId="8" fillId="0" borderId="0" xfId="0" applyNumberFormat="1" applyFont="1" applyFill="1" applyAlignment="1">
      <alignment horizontal="right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left" vertical="top" wrapText="1"/>
    </xf>
    <xf numFmtId="49" fontId="8" fillId="0" borderId="2" xfId="0" applyNumberFormat="1" applyFont="1" applyFill="1" applyBorder="1" applyAlignment="1">
      <alignment horizontal="left" vertical="top"/>
    </xf>
    <xf numFmtId="4" fontId="8" fillId="0" borderId="2" xfId="0" applyNumberFormat="1" applyFont="1" applyFill="1" applyBorder="1" applyAlignment="1">
      <alignment horizontal="right" vertical="top"/>
    </xf>
    <xf numFmtId="49" fontId="11" fillId="0" borderId="2" xfId="0" applyNumberFormat="1" applyFont="1" applyFill="1" applyBorder="1" applyAlignment="1">
      <alignment horizontal="center" vertical="top" wrapText="1"/>
    </xf>
    <xf numFmtId="49" fontId="11" fillId="0" borderId="2" xfId="0" applyNumberFormat="1" applyFont="1" applyFill="1" applyBorder="1" applyAlignment="1">
      <alignment horizontal="center" vertical="top"/>
    </xf>
    <xf numFmtId="4" fontId="11" fillId="0" borderId="2" xfId="0" applyNumberFormat="1" applyFont="1" applyFill="1" applyBorder="1" applyAlignment="1">
      <alignment horizontal="center" vertical="top"/>
    </xf>
    <xf numFmtId="49" fontId="7" fillId="0" borderId="2" xfId="0" applyNumberFormat="1" applyFont="1" applyFill="1" applyBorder="1" applyAlignment="1">
      <alignment horizontal="right" wrapText="1"/>
    </xf>
    <xf numFmtId="49" fontId="7" fillId="0" borderId="2" xfId="0" applyNumberFormat="1" applyFont="1" applyFill="1" applyBorder="1" applyAlignment="1">
      <alignment horizontal="left" vertical="top"/>
    </xf>
    <xf numFmtId="4" fontId="7" fillId="0" borderId="2" xfId="0" applyNumberFormat="1" applyFont="1" applyFill="1" applyBorder="1" applyAlignment="1">
      <alignment horizontal="right" vertical="top"/>
    </xf>
    <xf numFmtId="49" fontId="9" fillId="0" borderId="2" xfId="0" applyNumberFormat="1" applyFont="1" applyFill="1" applyBorder="1" applyAlignment="1">
      <alignment horizontal="left" vertical="top" wrapText="1"/>
    </xf>
    <xf numFmtId="49" fontId="12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vertical="top" wrapText="1"/>
    </xf>
    <xf numFmtId="49" fontId="7" fillId="0" borderId="2" xfId="0" applyNumberFormat="1" applyFont="1" applyFill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horizontal="center" vertical="top"/>
    </xf>
    <xf numFmtId="172" fontId="7" fillId="0" borderId="2" xfId="0" applyNumberFormat="1" applyFont="1" applyFill="1" applyBorder="1" applyAlignment="1">
      <alignment horizontal="right" vertical="top"/>
    </xf>
    <xf numFmtId="49" fontId="7" fillId="0" borderId="2" xfId="0" applyNumberFormat="1" applyFont="1" applyFill="1" applyBorder="1" applyAlignment="1">
      <alignment horizontal="center" wrapText="1"/>
    </xf>
    <xf numFmtId="49" fontId="11" fillId="0" borderId="2" xfId="0" applyNumberFormat="1" applyFont="1" applyFill="1" applyBorder="1" applyAlignment="1">
      <alignment horizontal="left" vertical="top"/>
    </xf>
    <xf numFmtId="4" fontId="11" fillId="0" borderId="2" xfId="0" applyNumberFormat="1" applyFont="1" applyFill="1" applyBorder="1" applyAlignment="1">
      <alignment horizontal="right" vertical="top"/>
    </xf>
    <xf numFmtId="49" fontId="13" fillId="0" borderId="2" xfId="0" applyNumberFormat="1" applyFont="1" applyFill="1" applyBorder="1" applyAlignment="1">
      <alignment horizontal="left" vertical="top"/>
    </xf>
    <xf numFmtId="4" fontId="13" fillId="0" borderId="2" xfId="0" applyNumberFormat="1" applyFont="1" applyFill="1" applyBorder="1" applyAlignment="1">
      <alignment horizontal="right" vertical="top"/>
    </xf>
    <xf numFmtId="49" fontId="7" fillId="0" borderId="2" xfId="0" applyNumberFormat="1" applyFont="1" applyFill="1" applyBorder="1" applyAlignment="1">
      <alignment horizontal="right"/>
    </xf>
    <xf numFmtId="4" fontId="7" fillId="0" borderId="2" xfId="0" applyNumberFormat="1" applyFont="1" applyFill="1" applyBorder="1" applyAlignment="1">
      <alignment horizontal="right"/>
    </xf>
    <xf numFmtId="49" fontId="7" fillId="0" borderId="3" xfId="0" applyNumberFormat="1" applyFont="1" applyFill="1" applyBorder="1" applyAlignment="1">
      <alignment horizontal="center" wrapText="1"/>
    </xf>
    <xf numFmtId="49" fontId="8" fillId="0" borderId="3" xfId="0" applyNumberFormat="1" applyFont="1" applyFill="1" applyBorder="1" applyAlignment="1">
      <alignment horizontal="left" vertical="top" wrapText="1"/>
    </xf>
    <xf numFmtId="49" fontId="8" fillId="0" borderId="2" xfId="0" applyNumberFormat="1" applyFont="1" applyFill="1" applyBorder="1" applyAlignment="1">
      <alignment horizontal="center" vertical="top"/>
    </xf>
    <xf numFmtId="49" fontId="11" fillId="0" borderId="3" xfId="0" applyNumberFormat="1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vertical="top" wrapText="1"/>
    </xf>
    <xf numFmtId="4" fontId="7" fillId="0" borderId="2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Alignment="1">
      <alignment horizontal="left" vertical="top" wrapText="1"/>
    </xf>
    <xf numFmtId="49" fontId="8" fillId="0" borderId="0" xfId="0" applyNumberFormat="1" applyFont="1" applyFill="1" applyAlignment="1">
      <alignment horizontal="left" vertical="top"/>
    </xf>
    <xf numFmtId="4" fontId="8" fillId="0" borderId="0" xfId="0" applyNumberFormat="1" applyFont="1" applyFill="1" applyAlignment="1">
      <alignment horizontal="right" vertical="top"/>
    </xf>
    <xf numFmtId="0" fontId="15" fillId="0" borderId="2" xfId="0" applyFont="1" applyFill="1" applyBorder="1" applyAlignment="1">
      <alignment vertical="top" wrapText="1"/>
    </xf>
    <xf numFmtId="49" fontId="9" fillId="0" borderId="2" xfId="0" applyNumberFormat="1" applyFont="1" applyFill="1" applyBorder="1" applyAlignment="1">
      <alignment horizontal="left" wrapText="1"/>
    </xf>
    <xf numFmtId="49" fontId="7" fillId="0" borderId="2" xfId="0" applyNumberFormat="1" applyFont="1" applyFill="1" applyBorder="1" applyAlignment="1">
      <alignment horizontal="left" wrapText="1"/>
    </xf>
    <xf numFmtId="49" fontId="7" fillId="0" borderId="2" xfId="0" applyNumberFormat="1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vertical="top" wrapText="1"/>
    </xf>
    <xf numFmtId="49" fontId="16" fillId="0" borderId="2" xfId="0" applyNumberFormat="1" applyFont="1" applyFill="1" applyBorder="1" applyAlignment="1">
      <alignment horizontal="left" vertical="top" wrapText="1"/>
    </xf>
    <xf numFmtId="49" fontId="13" fillId="0" borderId="2" xfId="0" applyNumberFormat="1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right" vertical="top"/>
    </xf>
    <xf numFmtId="2" fontId="0" fillId="0" borderId="0" xfId="0" applyNumberFormat="1"/>
    <xf numFmtId="2" fontId="18" fillId="0" borderId="0" xfId="0" applyNumberFormat="1" applyFont="1"/>
    <xf numFmtId="0" fontId="4" fillId="0" borderId="0" xfId="0" applyFont="1" applyAlignment="1">
      <alignment wrapText="1"/>
    </xf>
    <xf numFmtId="4" fontId="4" fillId="0" borderId="0" xfId="0" applyNumberFormat="1" applyFont="1"/>
    <xf numFmtId="2" fontId="4" fillId="0" borderId="0" xfId="0" applyNumberFormat="1" applyFont="1"/>
    <xf numFmtId="49" fontId="8" fillId="0" borderId="2" xfId="0" applyNumberFormat="1" applyFont="1" applyFill="1" applyBorder="1" applyAlignment="1">
      <alignment horizontal="left" wrapText="1"/>
    </xf>
    <xf numFmtId="4" fontId="0" fillId="0" borderId="0" xfId="0" applyNumberFormat="1"/>
    <xf numFmtId="4" fontId="19" fillId="0" borderId="2" xfId="0" applyNumberFormat="1" applyFont="1" applyFill="1" applyBorder="1" applyAlignment="1">
      <alignment horizontal="right" vertical="top"/>
    </xf>
    <xf numFmtId="2" fontId="20" fillId="0" borderId="0" xfId="0" applyNumberFormat="1" applyFont="1" applyAlignment="1">
      <alignment horizontal="center" vertical="center" wrapText="1"/>
    </xf>
    <xf numFmtId="2" fontId="20" fillId="0" borderId="0" xfId="0" applyNumberFormat="1" applyFont="1" applyFill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top"/>
    </xf>
    <xf numFmtId="49" fontId="21" fillId="0" borderId="2" xfId="0" applyNumberFormat="1" applyFont="1" applyFill="1" applyBorder="1" applyAlignment="1">
      <alignment horizontal="left" vertical="top"/>
    </xf>
    <xf numFmtId="4" fontId="21" fillId="0" borderId="2" xfId="0" applyNumberFormat="1" applyFont="1" applyFill="1" applyBorder="1" applyAlignment="1">
      <alignment horizontal="right" vertical="top"/>
    </xf>
    <xf numFmtId="49" fontId="21" fillId="0" borderId="2" xfId="0" applyNumberFormat="1" applyFont="1" applyFill="1" applyBorder="1" applyAlignment="1">
      <alignment horizontal="left" vertical="top" wrapText="1"/>
    </xf>
    <xf numFmtId="172" fontId="22" fillId="0" borderId="2" xfId="0" applyNumberFormat="1" applyFont="1" applyFill="1" applyBorder="1" applyAlignment="1">
      <alignment horizontal="right" vertical="top"/>
    </xf>
    <xf numFmtId="4" fontId="22" fillId="0" borderId="2" xfId="0" applyNumberFormat="1" applyFont="1" applyFill="1" applyBorder="1" applyAlignment="1">
      <alignment horizontal="right" vertical="top"/>
    </xf>
    <xf numFmtId="49" fontId="22" fillId="0" borderId="2" xfId="0" applyNumberFormat="1" applyFont="1" applyFill="1" applyBorder="1" applyAlignment="1">
      <alignment horizontal="left" wrapText="1"/>
    </xf>
    <xf numFmtId="4" fontId="23" fillId="0" borderId="2" xfId="0" applyNumberFormat="1" applyFont="1" applyFill="1" applyBorder="1" applyAlignment="1">
      <alignment horizontal="right" vertical="top"/>
    </xf>
    <xf numFmtId="0" fontId="8" fillId="0" borderId="2" xfId="0" applyFont="1" applyFill="1" applyBorder="1" applyAlignment="1">
      <alignment vertical="top" wrapText="1"/>
    </xf>
    <xf numFmtId="4" fontId="8" fillId="0" borderId="2" xfId="1" applyNumberFormat="1" applyFont="1" applyFill="1" applyBorder="1" applyAlignment="1">
      <alignment horizontal="right" vertical="top"/>
    </xf>
    <xf numFmtId="172" fontId="8" fillId="0" borderId="2" xfId="0" applyNumberFormat="1" applyFont="1" applyFill="1" applyBorder="1" applyAlignment="1">
      <alignment horizontal="right" vertical="top"/>
    </xf>
    <xf numFmtId="49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/>
    <xf numFmtId="172" fontId="11" fillId="0" borderId="2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 horizontal="center"/>
    </xf>
    <xf numFmtId="0" fontId="7" fillId="0" borderId="0" xfId="0" applyFont="1" applyFill="1"/>
    <xf numFmtId="0" fontId="16" fillId="0" borderId="0" xfId="0" applyFont="1" applyFill="1" applyAlignment="1">
      <alignment horizontal="center"/>
    </xf>
    <xf numFmtId="172" fontId="7" fillId="0" borderId="2" xfId="0" applyNumberFormat="1" applyFont="1" applyFill="1" applyBorder="1" applyAlignment="1">
      <alignment horizontal="center" vertical="top"/>
    </xf>
    <xf numFmtId="0" fontId="22" fillId="0" borderId="0" xfId="0" applyFont="1" applyFill="1"/>
    <xf numFmtId="2" fontId="8" fillId="0" borderId="0" xfId="0" applyNumberFormat="1" applyFont="1" applyFill="1"/>
    <xf numFmtId="172" fontId="11" fillId="0" borderId="2" xfId="0" applyNumberFormat="1" applyFont="1" applyFill="1" applyBorder="1" applyAlignment="1">
      <alignment horizontal="right" vertical="top"/>
    </xf>
    <xf numFmtId="0" fontId="11" fillId="0" borderId="0" xfId="0" applyFont="1" applyFill="1"/>
    <xf numFmtId="0" fontId="16" fillId="0" borderId="0" xfId="0" applyFont="1" applyFill="1"/>
    <xf numFmtId="172" fontId="13" fillId="0" borderId="2" xfId="0" applyNumberFormat="1" applyFont="1" applyFill="1" applyBorder="1" applyAlignment="1">
      <alignment horizontal="right" vertical="top"/>
    </xf>
    <xf numFmtId="0" fontId="13" fillId="0" borderId="0" xfId="0" applyFont="1" applyFill="1"/>
    <xf numFmtId="172" fontId="19" fillId="0" borderId="2" xfId="0" applyNumberFormat="1" applyFont="1" applyFill="1" applyBorder="1" applyAlignment="1">
      <alignment horizontal="right" vertical="top"/>
    </xf>
    <xf numFmtId="172" fontId="7" fillId="0" borderId="2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172" fontId="8" fillId="0" borderId="2" xfId="0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72" fontId="8" fillId="0" borderId="0" xfId="0" applyNumberFormat="1" applyFont="1" applyFill="1" applyAlignment="1">
      <alignment horizontal="right" vertical="top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49" fontId="24" fillId="0" borderId="2" xfId="0" applyNumberFormat="1" applyFont="1" applyBorder="1" applyAlignment="1">
      <alignment horizontal="left" wrapText="1"/>
    </xf>
    <xf numFmtId="49" fontId="9" fillId="0" borderId="2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left" wrapText="1"/>
    </xf>
    <xf numFmtId="49" fontId="9" fillId="0" borderId="5" xfId="0" applyNumberFormat="1" applyFont="1" applyBorder="1" applyAlignment="1">
      <alignment horizontal="left" wrapText="1"/>
    </xf>
    <xf numFmtId="49" fontId="8" fillId="0" borderId="2" xfId="0" applyNumberFormat="1" applyFont="1" applyBorder="1" applyAlignment="1">
      <alignment horizontal="left" wrapText="1"/>
    </xf>
    <xf numFmtId="49" fontId="8" fillId="0" borderId="3" xfId="0" applyNumberFormat="1" applyFont="1" applyFill="1" applyBorder="1" applyAlignment="1">
      <alignment horizontal="left" vertical="top"/>
    </xf>
    <xf numFmtId="49" fontId="11" fillId="0" borderId="2" xfId="0" applyNumberFormat="1" applyFont="1" applyBorder="1" applyAlignment="1">
      <alignment horizontal="left" wrapText="1"/>
    </xf>
    <xf numFmtId="49" fontId="24" fillId="0" borderId="2" xfId="0" applyNumberFormat="1" applyFont="1" applyBorder="1" applyAlignment="1">
      <alignment horizontal="center"/>
    </xf>
    <xf numFmtId="172" fontId="11" fillId="0" borderId="6" xfId="0" applyNumberFormat="1" applyFont="1" applyFill="1" applyBorder="1" applyAlignment="1">
      <alignment horizontal="center" vertical="top"/>
    </xf>
    <xf numFmtId="49" fontId="11" fillId="0" borderId="6" xfId="0" applyNumberFormat="1" applyFont="1" applyFill="1" applyBorder="1" applyAlignment="1">
      <alignment horizontal="center" vertical="top"/>
    </xf>
    <xf numFmtId="4" fontId="11" fillId="0" borderId="6" xfId="0" applyNumberFormat="1" applyFont="1" applyFill="1" applyBorder="1" applyAlignment="1">
      <alignment horizontal="center" vertical="top"/>
    </xf>
    <xf numFmtId="0" fontId="25" fillId="0" borderId="4" xfId="0" applyFont="1" applyFill="1" applyBorder="1" applyAlignment="1">
      <alignment vertical="top" wrapText="1"/>
    </xf>
    <xf numFmtId="0" fontId="15" fillId="2" borderId="2" xfId="0" applyFont="1" applyFill="1" applyBorder="1" applyAlignment="1">
      <alignment horizontal="justify"/>
    </xf>
    <xf numFmtId="0" fontId="6" fillId="2" borderId="2" xfId="0" applyFont="1" applyFill="1" applyBorder="1" applyAlignment="1">
      <alignment horizontal="justify" wrapText="1"/>
    </xf>
    <xf numFmtId="49" fontId="13" fillId="0" borderId="2" xfId="0" applyNumberFormat="1" applyFont="1" applyFill="1" applyBorder="1" applyAlignment="1">
      <alignment horizontal="center" vertical="top"/>
    </xf>
    <xf numFmtId="4" fontId="7" fillId="0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justify" wrapText="1"/>
    </xf>
    <xf numFmtId="0" fontId="9" fillId="2" borderId="2" xfId="0" applyFont="1" applyFill="1" applyBorder="1" applyAlignment="1">
      <alignment horizontal="justify"/>
    </xf>
    <xf numFmtId="0" fontId="24" fillId="0" borderId="2" xfId="0" applyNumberFormat="1" applyFont="1" applyFill="1" applyBorder="1" applyAlignment="1" applyProtection="1">
      <alignment horizontal="left" vertical="center" wrapText="1"/>
    </xf>
    <xf numFmtId="0" fontId="26" fillId="2" borderId="2" xfId="0" applyFont="1" applyFill="1" applyBorder="1" applyAlignment="1">
      <alignment horizontal="justify" wrapText="1"/>
    </xf>
    <xf numFmtId="49" fontId="17" fillId="0" borderId="2" xfId="0" applyNumberFormat="1" applyFont="1" applyFill="1" applyBorder="1" applyAlignment="1">
      <alignment horizontal="center" vertical="top"/>
    </xf>
    <xf numFmtId="4" fontId="17" fillId="0" borderId="2" xfId="0" applyNumberFormat="1" applyFont="1" applyFill="1" applyBorder="1" applyAlignment="1">
      <alignment horizontal="right" vertical="top"/>
    </xf>
    <xf numFmtId="49" fontId="8" fillId="0" borderId="3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0" fontId="9" fillId="0" borderId="2" xfId="0" applyNumberFormat="1" applyFont="1" applyBorder="1" applyAlignment="1">
      <alignment horizontal="left" wrapText="1"/>
    </xf>
    <xf numFmtId="4" fontId="7" fillId="0" borderId="2" xfId="0" applyNumberFormat="1" applyFont="1" applyFill="1" applyBorder="1" applyAlignment="1">
      <alignment horizontal="right" vertical="center"/>
    </xf>
    <xf numFmtId="4" fontId="8" fillId="0" borderId="2" xfId="0" applyNumberFormat="1" applyFont="1" applyFill="1" applyBorder="1" applyAlignment="1">
      <alignment horizontal="right" vertical="center"/>
    </xf>
    <xf numFmtId="49" fontId="24" fillId="0" borderId="2" xfId="0" applyNumberFormat="1" applyFont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left" vertical="top" wrapText="1"/>
    </xf>
    <xf numFmtId="0" fontId="27" fillId="0" borderId="2" xfId="0" applyFont="1" applyFill="1" applyBorder="1" applyAlignment="1">
      <alignment vertical="top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top" wrapText="1"/>
    </xf>
    <xf numFmtId="172" fontId="2" fillId="0" borderId="8" xfId="0" applyNumberFormat="1" applyFont="1" applyBorder="1" applyAlignment="1">
      <alignment horizontal="center" vertical="top" wrapText="1"/>
    </xf>
    <xf numFmtId="172" fontId="2" fillId="0" borderId="6" xfId="0" applyNumberFormat="1" applyFont="1" applyBorder="1" applyAlignment="1">
      <alignment horizontal="center" vertical="top" wrapText="1"/>
    </xf>
    <xf numFmtId="4" fontId="2" fillId="0" borderId="8" xfId="0" applyNumberFormat="1" applyFont="1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7"/>
  <sheetViews>
    <sheetView view="pageBreakPreview" topLeftCell="A11" zoomScaleNormal="100" zoomScaleSheetLayoutView="100" workbookViewId="0">
      <pane xSplit="3" ySplit="2" topLeftCell="D187" activePane="bottomRight" state="frozen"/>
      <selection activeCell="A11" sqref="A11"/>
      <selection pane="topRight" activeCell="D11" sqref="D11"/>
      <selection pane="bottomLeft" activeCell="A13" sqref="A13"/>
      <selection pane="bottomRight" activeCell="I200" sqref="I200"/>
    </sheetView>
  </sheetViews>
  <sheetFormatPr defaultRowHeight="12"/>
  <cols>
    <col min="1" max="1" width="42.5703125" style="67" customWidth="1"/>
    <col min="2" max="2" width="4.7109375" style="120" customWidth="1"/>
    <col min="3" max="3" width="20.140625" style="68" customWidth="1"/>
    <col min="4" max="4" width="15.7109375" style="69" customWidth="1"/>
    <col min="5" max="5" width="12.7109375" style="69" customWidth="1"/>
    <col min="6" max="6" width="12.7109375" style="69" hidden="1" customWidth="1"/>
    <col min="7" max="8" width="0" style="69" hidden="1" customWidth="1"/>
    <col min="9" max="9" width="14" style="69" customWidth="1"/>
    <col min="10" max="11" width="12.7109375" style="69" customWidth="1"/>
    <col min="12" max="16384" width="9.140625" style="101"/>
  </cols>
  <sheetData>
    <row r="1" spans="1:11" s="31" customFormat="1" ht="30" hidden="1" customHeight="1">
      <c r="C1" s="31" t="s">
        <v>0</v>
      </c>
    </row>
    <row r="2" spans="1:11" s="31" customFormat="1" hidden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s="31" customFormat="1" hidden="1">
      <c r="A3" s="32"/>
      <c r="B3" s="32"/>
      <c r="C3" s="32" t="s">
        <v>1</v>
      </c>
      <c r="D3" s="32"/>
      <c r="E3" s="32"/>
      <c r="F3" s="32"/>
      <c r="G3" s="32"/>
      <c r="H3" s="32"/>
      <c r="I3" s="32"/>
      <c r="J3" s="32"/>
      <c r="K3" s="32"/>
    </row>
    <row r="4" spans="1:11" s="31" customFormat="1" hidden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s="31" customFormat="1" hidden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s="31" customFormat="1" hidden="1">
      <c r="A6" s="32" t="s">
        <v>2</v>
      </c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s="31" customFormat="1" hidden="1">
      <c r="A7" s="32" t="s">
        <v>3</v>
      </c>
      <c r="B7" s="32"/>
      <c r="C7" s="32"/>
      <c r="D7" s="32"/>
      <c r="E7" s="32"/>
      <c r="F7" s="32"/>
      <c r="G7" s="32"/>
      <c r="H7" s="32"/>
      <c r="I7" s="32"/>
      <c r="J7" s="32"/>
      <c r="K7" s="32"/>
    </row>
    <row r="8" spans="1:11" s="31" customFormat="1">
      <c r="A8" s="32"/>
      <c r="B8" s="32"/>
      <c r="C8" s="32"/>
      <c r="D8" s="32"/>
      <c r="E8" s="32"/>
      <c r="F8" s="32"/>
      <c r="G8" s="32"/>
      <c r="H8" s="32"/>
      <c r="I8" s="32"/>
      <c r="J8" s="32"/>
      <c r="K8" s="33" t="s">
        <v>14</v>
      </c>
    </row>
    <row r="9" spans="1:11" s="31" customFormat="1">
      <c r="A9" s="32"/>
      <c r="B9" s="32"/>
      <c r="C9" s="32" t="s">
        <v>7</v>
      </c>
      <c r="D9" s="32"/>
      <c r="E9" s="32"/>
      <c r="F9" s="32"/>
      <c r="G9" s="32"/>
      <c r="H9" s="32"/>
      <c r="I9" s="32"/>
      <c r="J9" s="32"/>
    </row>
    <row r="10" spans="1:11" s="99" customFormat="1">
      <c r="A10" s="34"/>
      <c r="B10" s="36"/>
      <c r="C10" s="35"/>
      <c r="D10" s="36"/>
      <c r="E10" s="36"/>
      <c r="F10" s="36"/>
      <c r="G10" s="36"/>
      <c r="H10" s="36"/>
      <c r="I10" s="36"/>
      <c r="J10" s="36"/>
      <c r="K10" s="36"/>
    </row>
    <row r="11" spans="1:11" s="100" customFormat="1" ht="45" customHeight="1">
      <c r="A11" s="155" t="s">
        <v>4</v>
      </c>
      <c r="B11" s="154" t="s">
        <v>36</v>
      </c>
      <c r="C11" s="154" t="s">
        <v>8</v>
      </c>
      <c r="D11" s="154" t="s">
        <v>9</v>
      </c>
      <c r="E11" s="154" t="s">
        <v>10</v>
      </c>
      <c r="F11" s="154" t="s">
        <v>10</v>
      </c>
      <c r="G11" s="37"/>
      <c r="H11" s="37"/>
      <c r="I11" s="154" t="s">
        <v>5</v>
      </c>
      <c r="J11" s="154" t="s">
        <v>6</v>
      </c>
      <c r="K11" s="154"/>
    </row>
    <row r="12" spans="1:11" s="100" customFormat="1" ht="39" customHeight="1">
      <c r="A12" s="155"/>
      <c r="B12" s="154"/>
      <c r="C12" s="154"/>
      <c r="D12" s="154"/>
      <c r="E12" s="154"/>
      <c r="F12" s="154"/>
      <c r="G12" s="37"/>
      <c r="H12" s="37"/>
      <c r="I12" s="154"/>
      <c r="J12" s="37" t="s">
        <v>11</v>
      </c>
      <c r="K12" s="37" t="s">
        <v>12</v>
      </c>
    </row>
    <row r="13" spans="1:11" s="100" customFormat="1">
      <c r="A13" s="37">
        <v>1</v>
      </c>
      <c r="B13" s="37" t="s">
        <v>37</v>
      </c>
      <c r="C13" s="37">
        <v>3</v>
      </c>
      <c r="D13" s="37">
        <v>4</v>
      </c>
      <c r="E13" s="37">
        <v>5</v>
      </c>
      <c r="F13" s="37">
        <v>5</v>
      </c>
      <c r="G13" s="37"/>
      <c r="H13" s="37"/>
      <c r="I13" s="37">
        <v>6</v>
      </c>
      <c r="J13" s="37">
        <v>7</v>
      </c>
      <c r="K13" s="37">
        <v>8</v>
      </c>
    </row>
    <row r="14" spans="1:11" s="100" customFormat="1">
      <c r="A14" s="123" t="s">
        <v>142</v>
      </c>
      <c r="B14" s="37"/>
      <c r="C14" s="121" t="s">
        <v>187</v>
      </c>
      <c r="D14" s="138">
        <f>D15+D24+D86+D98</f>
        <v>4148223.37</v>
      </c>
      <c r="E14" s="138">
        <f t="shared" ref="E14:K14" si="0">E15+E24+E86+E98</f>
        <v>2569582.9900000002</v>
      </c>
      <c r="F14" s="138">
        <f t="shared" si="0"/>
        <v>3294</v>
      </c>
      <c r="G14" s="138">
        <f t="shared" si="0"/>
        <v>0</v>
      </c>
      <c r="H14" s="138">
        <f t="shared" si="0"/>
        <v>0</v>
      </c>
      <c r="I14" s="138">
        <f t="shared" si="0"/>
        <v>2290196.33</v>
      </c>
      <c r="J14" s="138">
        <f t="shared" si="0"/>
        <v>1872898.04</v>
      </c>
      <c r="K14" s="138">
        <f t="shared" si="0"/>
        <v>279386.66000000003</v>
      </c>
    </row>
    <row r="15" spans="1:11" s="122" customFormat="1" ht="36.75" customHeight="1">
      <c r="A15" s="123" t="s">
        <v>143</v>
      </c>
      <c r="B15" s="121"/>
      <c r="C15" s="121" t="s">
        <v>186</v>
      </c>
      <c r="D15" s="138">
        <f>D16</f>
        <v>620428</v>
      </c>
      <c r="E15" s="138">
        <f t="shared" ref="E15:K15" si="1">E16</f>
        <v>361626</v>
      </c>
      <c r="F15" s="138">
        <f t="shared" si="1"/>
        <v>0</v>
      </c>
      <c r="G15" s="138">
        <f t="shared" si="1"/>
        <v>0</v>
      </c>
      <c r="H15" s="138">
        <f t="shared" si="1"/>
        <v>0</v>
      </c>
      <c r="I15" s="138">
        <f t="shared" si="1"/>
        <v>306360.33999999997</v>
      </c>
      <c r="J15" s="138">
        <f t="shared" si="1"/>
        <v>314067.66000000003</v>
      </c>
      <c r="K15" s="138">
        <f t="shared" si="1"/>
        <v>55265.66</v>
      </c>
    </row>
    <row r="16" spans="1:11" s="100" customFormat="1" ht="22.5" customHeight="1">
      <c r="A16" s="127" t="s">
        <v>159</v>
      </c>
      <c r="B16" s="37"/>
      <c r="C16" s="147" t="s">
        <v>279</v>
      </c>
      <c r="D16" s="139">
        <f>D17+D21</f>
        <v>620428</v>
      </c>
      <c r="E16" s="139">
        <f t="shared" ref="E16:K16" si="2">E17+E21</f>
        <v>361626</v>
      </c>
      <c r="F16" s="139">
        <f t="shared" si="2"/>
        <v>0</v>
      </c>
      <c r="G16" s="139">
        <f t="shared" si="2"/>
        <v>0</v>
      </c>
      <c r="H16" s="139">
        <f t="shared" si="2"/>
        <v>0</v>
      </c>
      <c r="I16" s="139">
        <f t="shared" si="2"/>
        <v>306360.33999999997</v>
      </c>
      <c r="J16" s="139">
        <f t="shared" si="2"/>
        <v>314067.66000000003</v>
      </c>
      <c r="K16" s="139">
        <f t="shared" si="2"/>
        <v>55265.66</v>
      </c>
    </row>
    <row r="17" spans="1:11">
      <c r="A17" s="38" t="s">
        <v>26</v>
      </c>
      <c r="B17" s="98"/>
      <c r="C17" s="39" t="s">
        <v>191</v>
      </c>
      <c r="D17" s="97">
        <v>476519</v>
      </c>
      <c r="E17" s="40">
        <v>277963</v>
      </c>
      <c r="F17" s="40"/>
      <c r="G17" s="40"/>
      <c r="H17" s="40"/>
      <c r="I17" s="40">
        <v>231443.46</v>
      </c>
      <c r="J17" s="40">
        <f>D17-I17</f>
        <v>245075.54</v>
      </c>
      <c r="K17" s="40">
        <f>E17-I17</f>
        <v>46519.540000000008</v>
      </c>
    </row>
    <row r="18" spans="1:11" ht="22.5" hidden="1">
      <c r="A18" s="47" t="s">
        <v>28</v>
      </c>
      <c r="B18" s="98"/>
      <c r="C18" s="39" t="s">
        <v>98</v>
      </c>
      <c r="D18" s="40"/>
      <c r="E18" s="40"/>
      <c r="F18" s="40"/>
      <c r="G18" s="40"/>
      <c r="H18" s="40"/>
      <c r="I18" s="40"/>
      <c r="J18" s="40">
        <f>D18-I18</f>
        <v>0</v>
      </c>
      <c r="K18" s="40">
        <f>E18-I18</f>
        <v>0</v>
      </c>
    </row>
    <row r="19" spans="1:11">
      <c r="A19" s="49" t="s">
        <v>113</v>
      </c>
      <c r="B19" s="98"/>
      <c r="C19" s="39" t="s">
        <v>192</v>
      </c>
      <c r="D19" s="40">
        <v>104834</v>
      </c>
      <c r="E19" s="40">
        <v>60927</v>
      </c>
      <c r="F19" s="40"/>
      <c r="G19" s="40"/>
      <c r="H19" s="40"/>
      <c r="I19" s="40">
        <v>54042</v>
      </c>
      <c r="J19" s="40">
        <f>D19-I19</f>
        <v>50792</v>
      </c>
      <c r="K19" s="40">
        <f>E19-I19</f>
        <v>6885</v>
      </c>
    </row>
    <row r="20" spans="1:11" ht="14.25" customHeight="1">
      <c r="A20" s="49" t="s">
        <v>114</v>
      </c>
      <c r="B20" s="98"/>
      <c r="C20" s="39" t="s">
        <v>193</v>
      </c>
      <c r="D20" s="40">
        <v>39075</v>
      </c>
      <c r="E20" s="40">
        <v>22736</v>
      </c>
      <c r="F20" s="40"/>
      <c r="G20" s="40"/>
      <c r="H20" s="40"/>
      <c r="I20" s="40">
        <v>20874.88</v>
      </c>
      <c r="J20" s="40">
        <f>D20-I20</f>
        <v>18200.12</v>
      </c>
      <c r="K20" s="40">
        <f>E20-I20</f>
        <v>1861.119999999999</v>
      </c>
    </row>
    <row r="21" spans="1:11" s="103" customFormat="1">
      <c r="A21" s="125" t="s">
        <v>160</v>
      </c>
      <c r="B21" s="102"/>
      <c r="C21" s="42"/>
      <c r="D21" s="88">
        <f t="shared" ref="D21:K21" si="3">SUM(D19:D20)</f>
        <v>143909</v>
      </c>
      <c r="E21" s="43">
        <f t="shared" si="3"/>
        <v>83663</v>
      </c>
      <c r="F21" s="43">
        <f t="shared" si="3"/>
        <v>0</v>
      </c>
      <c r="G21" s="43">
        <f t="shared" si="3"/>
        <v>0</v>
      </c>
      <c r="H21" s="43">
        <f t="shared" si="3"/>
        <v>0</v>
      </c>
      <c r="I21" s="43">
        <f t="shared" si="3"/>
        <v>74916.88</v>
      </c>
      <c r="J21" s="43">
        <f t="shared" si="3"/>
        <v>68992.12</v>
      </c>
      <c r="K21" s="43">
        <f t="shared" si="3"/>
        <v>8746.119999999999</v>
      </c>
    </row>
    <row r="22" spans="1:11" s="103" customFormat="1">
      <c r="A22" s="41"/>
      <c r="B22" s="102"/>
      <c r="C22" s="42"/>
      <c r="D22" s="88"/>
      <c r="E22" s="43"/>
      <c r="F22" s="43"/>
      <c r="G22" s="43"/>
      <c r="H22" s="43"/>
      <c r="I22" s="43"/>
      <c r="J22" s="43"/>
      <c r="K22" s="43"/>
    </row>
    <row r="23" spans="1:11" s="103" customFormat="1" ht="42.75">
      <c r="A23" s="123" t="s">
        <v>144</v>
      </c>
      <c r="B23" s="102"/>
      <c r="C23" s="42" t="s">
        <v>185</v>
      </c>
      <c r="D23" s="43">
        <f>D24+D80+D84</f>
        <v>3536396.37</v>
      </c>
      <c r="E23" s="43">
        <f>E24+E80+E84</f>
        <v>2214755.9900000002</v>
      </c>
      <c r="F23" s="43">
        <f t="shared" ref="F23:K23" si="4">F24+F80+F84</f>
        <v>3294</v>
      </c>
      <c r="G23" s="43">
        <f t="shared" si="4"/>
        <v>0</v>
      </c>
      <c r="H23" s="43">
        <f t="shared" si="4"/>
        <v>0</v>
      </c>
      <c r="I23" s="43">
        <f t="shared" si="4"/>
        <v>1983275.9900000002</v>
      </c>
      <c r="J23" s="43">
        <f t="shared" si="4"/>
        <v>1567991.38</v>
      </c>
      <c r="K23" s="43">
        <f t="shared" si="4"/>
        <v>231480.00000000003</v>
      </c>
    </row>
    <row r="24" spans="1:11" s="104" customFormat="1" ht="24">
      <c r="A24" s="41" t="s">
        <v>278</v>
      </c>
      <c r="B24" s="52"/>
      <c r="C24" s="51" t="s">
        <v>277</v>
      </c>
      <c r="D24" s="46">
        <f>D45+D56+D57+D59+D68+D73+D74</f>
        <v>3520525.37</v>
      </c>
      <c r="E24" s="46">
        <f>E45+E56+E57+E59+E68+E73+E74+E81</f>
        <v>2206820.9900000002</v>
      </c>
      <c r="F24" s="46">
        <f>F45+F56+F57+F59+F68+F73+F74+F81+F84</f>
        <v>3294</v>
      </c>
      <c r="G24" s="46">
        <f>G45+G56+G57+G59+G68+G73+G74+G81+G84</f>
        <v>0</v>
      </c>
      <c r="H24" s="46">
        <f>H45+H56+H57+H59+H68+H73+H74+H81+H84</f>
        <v>0</v>
      </c>
      <c r="I24" s="46">
        <f>I45+I56+I57+I59+I68+I73+I74+I81+I84</f>
        <v>1983275.9900000002</v>
      </c>
      <c r="J24" s="46">
        <f>J45+J56+J57+J59+J68+J73+J74+J81+J84</f>
        <v>1552120.38</v>
      </c>
      <c r="K24" s="46">
        <f>K45+K56+K57+K59+K68+K73+K74+K81</f>
        <v>223545.00000000003</v>
      </c>
    </row>
    <row r="25" spans="1:11" hidden="1">
      <c r="A25" s="38" t="s">
        <v>26</v>
      </c>
      <c r="B25" s="98"/>
      <c r="C25" s="39" t="s">
        <v>126</v>
      </c>
      <c r="D25" s="40"/>
      <c r="E25" s="40"/>
      <c r="F25" s="40"/>
      <c r="G25" s="40"/>
      <c r="H25" s="40"/>
      <c r="I25" s="40"/>
      <c r="J25" s="40">
        <f>D25-I25</f>
        <v>0</v>
      </c>
      <c r="K25" s="40">
        <f>E25-I25</f>
        <v>0</v>
      </c>
    </row>
    <row r="26" spans="1:11" hidden="1">
      <c r="A26" s="49" t="s">
        <v>113</v>
      </c>
      <c r="B26" s="98"/>
      <c r="C26" s="39" t="s">
        <v>127</v>
      </c>
      <c r="D26" s="40"/>
      <c r="E26" s="40"/>
      <c r="F26" s="40"/>
      <c r="G26" s="40"/>
      <c r="H26" s="40"/>
      <c r="I26" s="40"/>
      <c r="J26" s="40">
        <f>D26-I26</f>
        <v>0</v>
      </c>
      <c r="K26" s="40">
        <f>E26-I26</f>
        <v>0</v>
      </c>
    </row>
    <row r="27" spans="1:11" ht="14.25" hidden="1" customHeight="1">
      <c r="A27" s="49" t="s">
        <v>114</v>
      </c>
      <c r="B27" s="98"/>
      <c r="C27" s="39" t="s">
        <v>128</v>
      </c>
      <c r="D27" s="40"/>
      <c r="E27" s="40"/>
      <c r="F27" s="40"/>
      <c r="G27" s="40"/>
      <c r="H27" s="40"/>
      <c r="I27" s="40"/>
      <c r="J27" s="40">
        <f>D27-I27</f>
        <v>0</v>
      </c>
      <c r="K27" s="40">
        <f>E27-I27</f>
        <v>0</v>
      </c>
    </row>
    <row r="28" spans="1:11" s="103" customFormat="1" hidden="1">
      <c r="A28" s="41" t="s">
        <v>90</v>
      </c>
      <c r="B28" s="102"/>
      <c r="C28" s="42"/>
      <c r="D28" s="43">
        <f t="shared" ref="D28:K28" si="5">SUM(D26:D27)</f>
        <v>0</v>
      </c>
      <c r="E28" s="43">
        <f t="shared" si="5"/>
        <v>0</v>
      </c>
      <c r="F28" s="43">
        <f t="shared" si="5"/>
        <v>0</v>
      </c>
      <c r="G28" s="43">
        <f t="shared" si="5"/>
        <v>0</v>
      </c>
      <c r="H28" s="43">
        <f t="shared" si="5"/>
        <v>0</v>
      </c>
      <c r="I28" s="43">
        <f t="shared" si="5"/>
        <v>0</v>
      </c>
      <c r="J28" s="43">
        <f t="shared" si="5"/>
        <v>0</v>
      </c>
      <c r="K28" s="43">
        <f t="shared" si="5"/>
        <v>0</v>
      </c>
    </row>
    <row r="29" spans="1:11" s="104" customFormat="1" hidden="1">
      <c r="A29" s="72" t="s">
        <v>129</v>
      </c>
      <c r="B29" s="52"/>
      <c r="C29" s="39"/>
      <c r="D29" s="46">
        <f>D25+D28</f>
        <v>0</v>
      </c>
      <c r="E29" s="46">
        <f t="shared" ref="E29:K29" si="6">E25+E28</f>
        <v>0</v>
      </c>
      <c r="F29" s="46">
        <f t="shared" si="6"/>
        <v>0</v>
      </c>
      <c r="G29" s="46">
        <f t="shared" si="6"/>
        <v>0</v>
      </c>
      <c r="H29" s="46">
        <f t="shared" si="6"/>
        <v>0</v>
      </c>
      <c r="I29" s="46">
        <f t="shared" si="6"/>
        <v>0</v>
      </c>
      <c r="J29" s="46">
        <f t="shared" si="6"/>
        <v>0</v>
      </c>
      <c r="K29" s="46">
        <f t="shared" si="6"/>
        <v>0</v>
      </c>
    </row>
    <row r="30" spans="1:11" s="104" customFormat="1" hidden="1">
      <c r="A30" s="72"/>
      <c r="B30" s="52"/>
      <c r="C30" s="39"/>
      <c r="D30" s="46"/>
      <c r="E30" s="46"/>
      <c r="F30" s="46"/>
      <c r="G30" s="46"/>
      <c r="H30" s="46"/>
      <c r="I30" s="46"/>
      <c r="J30" s="46"/>
      <c r="K30" s="46"/>
    </row>
    <row r="31" spans="1:11" s="104" customFormat="1" hidden="1">
      <c r="A31" s="72" t="s">
        <v>120</v>
      </c>
      <c r="B31" s="52"/>
      <c r="C31" s="39"/>
      <c r="D31" s="46"/>
      <c r="E31" s="46"/>
      <c r="F31" s="46"/>
      <c r="G31" s="46"/>
      <c r="H31" s="46"/>
      <c r="I31" s="46"/>
      <c r="J31" s="46"/>
      <c r="K31" s="46"/>
    </row>
    <row r="32" spans="1:11" hidden="1">
      <c r="A32" s="38" t="s">
        <v>26</v>
      </c>
      <c r="B32" s="98"/>
      <c r="C32" s="39" t="s">
        <v>99</v>
      </c>
      <c r="D32" s="40"/>
      <c r="E32" s="40"/>
      <c r="F32" s="40"/>
      <c r="G32" s="40"/>
      <c r="H32" s="40"/>
      <c r="I32" s="40"/>
      <c r="J32" s="40">
        <f>D32-I32</f>
        <v>0</v>
      </c>
      <c r="K32" s="40">
        <f>E32-I32</f>
        <v>0</v>
      </c>
    </row>
    <row r="33" spans="1:11" hidden="1">
      <c r="A33" s="49" t="s">
        <v>113</v>
      </c>
      <c r="B33" s="98"/>
      <c r="C33" s="39" t="s">
        <v>100</v>
      </c>
      <c r="D33" s="40"/>
      <c r="E33" s="40"/>
      <c r="F33" s="40"/>
      <c r="G33" s="40"/>
      <c r="H33" s="40"/>
      <c r="I33" s="40"/>
      <c r="J33" s="40">
        <f>D33-I33</f>
        <v>0</v>
      </c>
      <c r="K33" s="40">
        <f>E33-I33</f>
        <v>0</v>
      </c>
    </row>
    <row r="34" spans="1:11" ht="14.25" hidden="1" customHeight="1">
      <c r="A34" s="96" t="s">
        <v>114</v>
      </c>
      <c r="B34" s="98"/>
      <c r="C34" s="39" t="s">
        <v>101</v>
      </c>
      <c r="D34" s="40"/>
      <c r="E34" s="40"/>
      <c r="F34" s="40"/>
      <c r="G34" s="40"/>
      <c r="H34" s="40"/>
      <c r="I34" s="40"/>
      <c r="J34" s="40">
        <f>D34-I34</f>
        <v>0</v>
      </c>
      <c r="K34" s="40">
        <f>E34-I34</f>
        <v>0</v>
      </c>
    </row>
    <row r="35" spans="1:11" s="103" customFormat="1" hidden="1">
      <c r="A35" s="41" t="s">
        <v>90</v>
      </c>
      <c r="B35" s="102"/>
      <c r="C35" s="42"/>
      <c r="D35" s="43">
        <f t="shared" ref="D35:K35" si="7">SUM(D33:D34)</f>
        <v>0</v>
      </c>
      <c r="E35" s="43">
        <f t="shared" si="7"/>
        <v>0</v>
      </c>
      <c r="F35" s="43">
        <f t="shared" si="7"/>
        <v>0</v>
      </c>
      <c r="G35" s="43">
        <f t="shared" si="7"/>
        <v>0</v>
      </c>
      <c r="H35" s="43">
        <f t="shared" si="7"/>
        <v>0</v>
      </c>
      <c r="I35" s="43">
        <f t="shared" si="7"/>
        <v>0</v>
      </c>
      <c r="J35" s="43">
        <f t="shared" si="7"/>
        <v>0</v>
      </c>
      <c r="K35" s="43">
        <f t="shared" si="7"/>
        <v>0</v>
      </c>
    </row>
    <row r="36" spans="1:11" s="104" customFormat="1" hidden="1">
      <c r="A36" s="72" t="s">
        <v>106</v>
      </c>
      <c r="B36" s="52"/>
      <c r="C36" s="45"/>
      <c r="D36" s="46">
        <f t="shared" ref="D36:K36" si="8">D32+D35</f>
        <v>0</v>
      </c>
      <c r="E36" s="46">
        <f t="shared" si="8"/>
        <v>0</v>
      </c>
      <c r="F36" s="46">
        <f t="shared" si="8"/>
        <v>0</v>
      </c>
      <c r="G36" s="46">
        <f t="shared" si="8"/>
        <v>0</v>
      </c>
      <c r="H36" s="46">
        <f t="shared" si="8"/>
        <v>0</v>
      </c>
      <c r="I36" s="46">
        <f t="shared" si="8"/>
        <v>0</v>
      </c>
      <c r="J36" s="46">
        <f t="shared" si="8"/>
        <v>0</v>
      </c>
      <c r="K36" s="46">
        <f t="shared" si="8"/>
        <v>0</v>
      </c>
    </row>
    <row r="37" spans="1:11" s="104" customFormat="1" hidden="1">
      <c r="A37" s="72"/>
      <c r="B37" s="52"/>
      <c r="C37" s="45"/>
      <c r="D37" s="46"/>
      <c r="E37" s="46"/>
      <c r="F37" s="46"/>
      <c r="G37" s="46"/>
      <c r="H37" s="46"/>
      <c r="I37" s="46"/>
      <c r="J37" s="46"/>
      <c r="K37" s="46"/>
    </row>
    <row r="38" spans="1:11" s="104" customFormat="1" hidden="1">
      <c r="A38" s="53" t="s">
        <v>111</v>
      </c>
      <c r="B38" s="52"/>
      <c r="C38" s="45"/>
      <c r="D38" s="46"/>
      <c r="E38" s="46"/>
      <c r="F38" s="46"/>
      <c r="G38" s="46"/>
      <c r="H38" s="46"/>
      <c r="I38" s="46"/>
      <c r="J38" s="46"/>
      <c r="K38" s="46"/>
    </row>
    <row r="39" spans="1:11" hidden="1">
      <c r="A39" s="38" t="s">
        <v>26</v>
      </c>
      <c r="B39" s="98"/>
      <c r="C39" s="39" t="s">
        <v>102</v>
      </c>
      <c r="D39" s="40">
        <f t="shared" ref="D39:I39" si="9">D17+D25+D32</f>
        <v>476519</v>
      </c>
      <c r="E39" s="40">
        <f t="shared" si="9"/>
        <v>277963</v>
      </c>
      <c r="F39" s="40">
        <f t="shared" si="9"/>
        <v>0</v>
      </c>
      <c r="G39" s="40">
        <f t="shared" si="9"/>
        <v>0</v>
      </c>
      <c r="H39" s="40">
        <f t="shared" si="9"/>
        <v>0</v>
      </c>
      <c r="I39" s="40">
        <f t="shared" si="9"/>
        <v>231443.46</v>
      </c>
      <c r="J39" s="40">
        <f>D39-I39</f>
        <v>245075.54</v>
      </c>
      <c r="K39" s="40">
        <f>E39-I39</f>
        <v>46519.540000000008</v>
      </c>
    </row>
    <row r="40" spans="1:11" ht="22.5" hidden="1">
      <c r="A40" s="47" t="s">
        <v>28</v>
      </c>
      <c r="B40" s="98"/>
      <c r="C40" s="39" t="s">
        <v>103</v>
      </c>
      <c r="D40" s="40">
        <f t="shared" ref="D40:I40" si="10">D18</f>
        <v>0</v>
      </c>
      <c r="E40" s="40">
        <f t="shared" si="10"/>
        <v>0</v>
      </c>
      <c r="F40" s="40">
        <f t="shared" si="10"/>
        <v>0</v>
      </c>
      <c r="G40" s="40">
        <f t="shared" si="10"/>
        <v>0</v>
      </c>
      <c r="H40" s="40">
        <f t="shared" si="10"/>
        <v>0</v>
      </c>
      <c r="I40" s="40">
        <f t="shared" si="10"/>
        <v>0</v>
      </c>
      <c r="J40" s="40">
        <f>D40-I40</f>
        <v>0</v>
      </c>
      <c r="K40" s="40">
        <f>E40-I40</f>
        <v>0</v>
      </c>
    </row>
    <row r="41" spans="1:11" hidden="1">
      <c r="A41" s="49" t="s">
        <v>113</v>
      </c>
      <c r="B41" s="98"/>
      <c r="C41" s="39" t="s">
        <v>104</v>
      </c>
      <c r="D41" s="40">
        <f t="shared" ref="D41:I42" si="11">D19+D26+D33</f>
        <v>104834</v>
      </c>
      <c r="E41" s="40">
        <f t="shared" si="11"/>
        <v>60927</v>
      </c>
      <c r="F41" s="40">
        <f t="shared" si="11"/>
        <v>0</v>
      </c>
      <c r="G41" s="40">
        <f t="shared" si="11"/>
        <v>0</v>
      </c>
      <c r="H41" s="40">
        <f t="shared" si="11"/>
        <v>0</v>
      </c>
      <c r="I41" s="40">
        <f t="shared" si="11"/>
        <v>54042</v>
      </c>
      <c r="J41" s="40">
        <f>D41-I41</f>
        <v>50792</v>
      </c>
      <c r="K41" s="40">
        <f>E41-I41</f>
        <v>6885</v>
      </c>
    </row>
    <row r="42" spans="1:11" ht="14.25" hidden="1" customHeight="1">
      <c r="A42" s="49" t="s">
        <v>114</v>
      </c>
      <c r="B42" s="98"/>
      <c r="C42" s="39" t="s">
        <v>105</v>
      </c>
      <c r="D42" s="40">
        <f t="shared" si="11"/>
        <v>39075</v>
      </c>
      <c r="E42" s="40">
        <f t="shared" si="11"/>
        <v>22736</v>
      </c>
      <c r="F42" s="40">
        <f t="shared" si="11"/>
        <v>0</v>
      </c>
      <c r="G42" s="40">
        <f t="shared" si="11"/>
        <v>0</v>
      </c>
      <c r="H42" s="40">
        <f t="shared" si="11"/>
        <v>0</v>
      </c>
      <c r="I42" s="40">
        <f t="shared" si="11"/>
        <v>20874.88</v>
      </c>
      <c r="J42" s="40">
        <f>D42-I42</f>
        <v>18200.12</v>
      </c>
      <c r="K42" s="40">
        <f>E42-I42</f>
        <v>1861.119999999999</v>
      </c>
    </row>
    <row r="43" spans="1:11" s="103" customFormat="1" hidden="1">
      <c r="A43" s="41" t="s">
        <v>90</v>
      </c>
      <c r="B43" s="102"/>
      <c r="C43" s="42"/>
      <c r="D43" s="43">
        <f>SUM(D41:D42)</f>
        <v>143909</v>
      </c>
      <c r="E43" s="43">
        <f t="shared" ref="E43:K43" si="12">SUM(E41:E42)</f>
        <v>83663</v>
      </c>
      <c r="F43" s="43">
        <f t="shared" si="12"/>
        <v>0</v>
      </c>
      <c r="G43" s="43">
        <f t="shared" si="12"/>
        <v>0</v>
      </c>
      <c r="H43" s="43">
        <f t="shared" si="12"/>
        <v>0</v>
      </c>
      <c r="I43" s="43">
        <f t="shared" si="12"/>
        <v>74916.88</v>
      </c>
      <c r="J43" s="43">
        <f t="shared" si="12"/>
        <v>68992.12</v>
      </c>
      <c r="K43" s="43">
        <f t="shared" si="12"/>
        <v>8746.119999999999</v>
      </c>
    </row>
    <row r="44" spans="1:11" s="104" customFormat="1" hidden="1">
      <c r="A44" s="53" t="s">
        <v>110</v>
      </c>
      <c r="B44" s="52"/>
      <c r="C44" s="45"/>
      <c r="D44" s="46">
        <f>D39+D43+D40</f>
        <v>620428</v>
      </c>
      <c r="E44" s="46">
        <f t="shared" ref="E44:K44" si="13">E39+E43+E40</f>
        <v>361626</v>
      </c>
      <c r="F44" s="46">
        <f t="shared" si="13"/>
        <v>0</v>
      </c>
      <c r="G44" s="46">
        <f t="shared" si="13"/>
        <v>0</v>
      </c>
      <c r="H44" s="46">
        <f t="shared" si="13"/>
        <v>0</v>
      </c>
      <c r="I44" s="46">
        <f t="shared" si="13"/>
        <v>306360.33999999997</v>
      </c>
      <c r="J44" s="46">
        <f t="shared" si="13"/>
        <v>314067.66000000003</v>
      </c>
      <c r="K44" s="46">
        <f t="shared" si="13"/>
        <v>55265.66</v>
      </c>
    </row>
    <row r="45" spans="1:11" s="104" customFormat="1">
      <c r="A45" s="125" t="s">
        <v>159</v>
      </c>
      <c r="B45" s="52"/>
      <c r="C45" s="45"/>
      <c r="D45" s="46">
        <f>D48+D51+D54</f>
        <v>2068199</v>
      </c>
      <c r="E45" s="46">
        <f t="shared" ref="E45:K45" si="14">E48+E51+E54</f>
        <v>1056447.82</v>
      </c>
      <c r="F45" s="46">
        <f t="shared" si="14"/>
        <v>0</v>
      </c>
      <c r="G45" s="46">
        <f t="shared" si="14"/>
        <v>0</v>
      </c>
      <c r="H45" s="46">
        <f t="shared" si="14"/>
        <v>0</v>
      </c>
      <c r="I45" s="46">
        <f t="shared" si="14"/>
        <v>905096.7</v>
      </c>
      <c r="J45" s="46">
        <f t="shared" si="14"/>
        <v>1163102.3</v>
      </c>
      <c r="K45" s="46">
        <f t="shared" si="14"/>
        <v>151351.12000000002</v>
      </c>
    </row>
    <row r="46" spans="1:11">
      <c r="A46" s="38" t="s">
        <v>16</v>
      </c>
      <c r="B46" s="98"/>
      <c r="C46" s="39" t="s">
        <v>194</v>
      </c>
      <c r="D46" s="40">
        <v>775632</v>
      </c>
      <c r="E46" s="40">
        <f>349219+11899.82+51000</f>
        <v>412118.82</v>
      </c>
      <c r="F46" s="40"/>
      <c r="G46" s="40"/>
      <c r="H46" s="40"/>
      <c r="I46" s="40">
        <v>378036.87</v>
      </c>
      <c r="J46" s="40">
        <f>D46-I46</f>
        <v>397595.13</v>
      </c>
      <c r="K46" s="40">
        <f>E46-I46</f>
        <v>34081.950000000012</v>
      </c>
    </row>
    <row r="47" spans="1:11">
      <c r="A47" s="38" t="s">
        <v>27</v>
      </c>
      <c r="B47" s="98"/>
      <c r="C47" s="39" t="s">
        <v>195</v>
      </c>
      <c r="D47" s="40">
        <v>788186</v>
      </c>
      <c r="E47" s="40">
        <v>398173</v>
      </c>
      <c r="F47" s="40"/>
      <c r="G47" s="40"/>
      <c r="H47" s="40"/>
      <c r="I47" s="40">
        <v>346460.99</v>
      </c>
      <c r="J47" s="40">
        <f>D47-I47</f>
        <v>441725.01</v>
      </c>
      <c r="K47" s="40">
        <f>E47-I47</f>
        <v>51712.010000000009</v>
      </c>
    </row>
    <row r="48" spans="1:11" s="103" customFormat="1">
      <c r="A48" s="41" t="s">
        <v>91</v>
      </c>
      <c r="B48" s="102"/>
      <c r="C48" s="42"/>
      <c r="D48" s="43">
        <f t="shared" ref="D48:K48" si="15">SUM(D46:D47)</f>
        <v>1563818</v>
      </c>
      <c r="E48" s="43">
        <f t="shared" si="15"/>
        <v>810291.82000000007</v>
      </c>
      <c r="F48" s="43">
        <f t="shared" si="15"/>
        <v>0</v>
      </c>
      <c r="G48" s="43">
        <f t="shared" si="15"/>
        <v>0</v>
      </c>
      <c r="H48" s="43">
        <f t="shared" si="15"/>
        <v>0</v>
      </c>
      <c r="I48" s="43">
        <f t="shared" si="15"/>
        <v>724497.86</v>
      </c>
      <c r="J48" s="43">
        <f t="shared" si="15"/>
        <v>839320.14</v>
      </c>
      <c r="K48" s="43">
        <f t="shared" si="15"/>
        <v>85793.960000000021</v>
      </c>
    </row>
    <row r="49" spans="1:11" ht="23.25" customHeight="1">
      <c r="A49" s="47" t="s">
        <v>28</v>
      </c>
      <c r="B49" s="98"/>
      <c r="C49" s="39" t="s">
        <v>196</v>
      </c>
      <c r="D49" s="40">
        <f>23108-11000</f>
        <v>12108</v>
      </c>
      <c r="E49" s="40">
        <v>10446</v>
      </c>
      <c r="F49" s="40"/>
      <c r="G49" s="40"/>
      <c r="H49" s="40"/>
      <c r="I49" s="40">
        <v>0</v>
      </c>
      <c r="J49" s="40">
        <f>D49-I49</f>
        <v>12108</v>
      </c>
      <c r="K49" s="40">
        <f>E49-I49</f>
        <v>10446</v>
      </c>
    </row>
    <row r="50" spans="1:11" ht="22.5">
      <c r="A50" s="47" t="s">
        <v>29</v>
      </c>
      <c r="B50" s="98"/>
      <c r="C50" s="39" t="s">
        <v>197</v>
      </c>
      <c r="D50" s="40">
        <v>20000</v>
      </c>
      <c r="E50" s="40">
        <v>10000</v>
      </c>
      <c r="F50" s="40"/>
      <c r="G50" s="40"/>
      <c r="H50" s="40"/>
      <c r="I50" s="40">
        <v>3500</v>
      </c>
      <c r="J50" s="40">
        <f>D50-I50</f>
        <v>16500</v>
      </c>
      <c r="K50" s="40">
        <f>E50-I50</f>
        <v>6500</v>
      </c>
    </row>
    <row r="51" spans="1:11" s="103" customFormat="1">
      <c r="A51" s="48" t="s">
        <v>161</v>
      </c>
      <c r="B51" s="102"/>
      <c r="C51" s="42"/>
      <c r="D51" s="43">
        <f t="shared" ref="D51:K51" si="16">SUM(D49:D50)</f>
        <v>32108</v>
      </c>
      <c r="E51" s="43">
        <f t="shared" si="16"/>
        <v>20446</v>
      </c>
      <c r="F51" s="43">
        <f t="shared" si="16"/>
        <v>0</v>
      </c>
      <c r="G51" s="43">
        <f t="shared" si="16"/>
        <v>0</v>
      </c>
      <c r="H51" s="43">
        <f t="shared" si="16"/>
        <v>0</v>
      </c>
      <c r="I51" s="43">
        <f t="shared" si="16"/>
        <v>3500</v>
      </c>
      <c r="J51" s="43">
        <f t="shared" si="16"/>
        <v>28608</v>
      </c>
      <c r="K51" s="43">
        <f t="shared" si="16"/>
        <v>16946</v>
      </c>
    </row>
    <row r="52" spans="1:11">
      <c r="A52" s="74" t="s">
        <v>113</v>
      </c>
      <c r="B52" s="98"/>
      <c r="C52" s="39" t="s">
        <v>198</v>
      </c>
      <c r="D52" s="40">
        <v>344040</v>
      </c>
      <c r="E52" s="40">
        <v>164424</v>
      </c>
      <c r="F52" s="40"/>
      <c r="G52" s="40"/>
      <c r="H52" s="40"/>
      <c r="I52" s="40">
        <v>127656</v>
      </c>
      <c r="J52" s="40">
        <f>D52-I52</f>
        <v>216384</v>
      </c>
      <c r="K52" s="40">
        <f>E52-I52</f>
        <v>36768</v>
      </c>
    </row>
    <row r="53" spans="1:11">
      <c r="A53" s="74" t="s">
        <v>114</v>
      </c>
      <c r="B53" s="98"/>
      <c r="C53" s="39" t="s">
        <v>199</v>
      </c>
      <c r="D53" s="40">
        <v>128233</v>
      </c>
      <c r="E53" s="40">
        <v>61286</v>
      </c>
      <c r="F53" s="40"/>
      <c r="G53" s="40"/>
      <c r="H53" s="40"/>
      <c r="I53" s="40">
        <v>49442.84</v>
      </c>
      <c r="J53" s="40">
        <f>D53-I53</f>
        <v>78790.16</v>
      </c>
      <c r="K53" s="40">
        <f>E53-I53</f>
        <v>11843.160000000003</v>
      </c>
    </row>
    <row r="54" spans="1:11" s="103" customFormat="1">
      <c r="A54" s="125" t="s">
        <v>160</v>
      </c>
      <c r="B54" s="102"/>
      <c r="C54" s="42"/>
      <c r="D54" s="43">
        <f t="shared" ref="D54:K54" si="17">SUM(D52:D53)</f>
        <v>472273</v>
      </c>
      <c r="E54" s="43">
        <f t="shared" si="17"/>
        <v>225710</v>
      </c>
      <c r="F54" s="43">
        <f t="shared" si="17"/>
        <v>0</v>
      </c>
      <c r="G54" s="43">
        <f t="shared" si="17"/>
        <v>0</v>
      </c>
      <c r="H54" s="43">
        <f t="shared" si="17"/>
        <v>0</v>
      </c>
      <c r="I54" s="43">
        <f t="shared" si="17"/>
        <v>177098.84</v>
      </c>
      <c r="J54" s="43">
        <f t="shared" si="17"/>
        <v>295174.16000000003</v>
      </c>
      <c r="K54" s="43">
        <f t="shared" si="17"/>
        <v>48611.16</v>
      </c>
    </row>
    <row r="55" spans="1:11" s="103" customFormat="1">
      <c r="A55" s="125"/>
      <c r="B55" s="102"/>
      <c r="C55" s="42"/>
      <c r="D55" s="43"/>
      <c r="E55" s="43"/>
      <c r="F55" s="43"/>
      <c r="G55" s="43"/>
      <c r="H55" s="43"/>
      <c r="I55" s="43"/>
      <c r="J55" s="43"/>
      <c r="K55" s="43"/>
    </row>
    <row r="56" spans="1:11">
      <c r="A56" s="38" t="s">
        <v>18</v>
      </c>
      <c r="B56" s="98"/>
      <c r="C56" s="39" t="s">
        <v>200</v>
      </c>
      <c r="D56" s="40">
        <v>23607</v>
      </c>
      <c r="E56" s="40">
        <v>9606</v>
      </c>
      <c r="F56" s="40"/>
      <c r="G56" s="40"/>
      <c r="H56" s="40"/>
      <c r="I56" s="40">
        <v>1416.1</v>
      </c>
      <c r="J56" s="40">
        <f>D56-I56</f>
        <v>22190.9</v>
      </c>
      <c r="K56" s="40">
        <f>E56-I56</f>
        <v>8189.9</v>
      </c>
    </row>
    <row r="57" spans="1:11">
      <c r="A57" s="38" t="s">
        <v>21</v>
      </c>
      <c r="B57" s="98"/>
      <c r="C57" s="39" t="s">
        <v>259</v>
      </c>
      <c r="D57" s="40">
        <v>15650</v>
      </c>
      <c r="E57" s="40">
        <v>8250</v>
      </c>
      <c r="F57" s="40"/>
      <c r="G57" s="40"/>
      <c r="H57" s="40"/>
      <c r="I57" s="40">
        <v>2240</v>
      </c>
      <c r="J57" s="40">
        <f>D57-I57</f>
        <v>13410</v>
      </c>
      <c r="K57" s="40">
        <f>E57-I57</f>
        <v>6010</v>
      </c>
    </row>
    <row r="58" spans="1:11">
      <c r="A58" s="38"/>
      <c r="B58" s="98"/>
      <c r="C58" s="128"/>
      <c r="D58" s="40"/>
      <c r="E58" s="40"/>
      <c r="F58" s="40"/>
      <c r="G58" s="40"/>
      <c r="H58" s="40"/>
      <c r="I58" s="40"/>
      <c r="J58" s="40"/>
      <c r="K58" s="40"/>
    </row>
    <row r="59" spans="1:11">
      <c r="A59" s="127" t="s">
        <v>151</v>
      </c>
      <c r="B59" s="98"/>
      <c r="C59" s="146" t="s">
        <v>168</v>
      </c>
      <c r="D59" s="40">
        <f t="shared" ref="D59:K59" si="18">D60+D61+D65+D66+D67</f>
        <v>1243716.3700000001</v>
      </c>
      <c r="E59" s="40">
        <f t="shared" si="18"/>
        <v>1021799.17</v>
      </c>
      <c r="F59" s="40">
        <f t="shared" si="18"/>
        <v>3294</v>
      </c>
      <c r="G59" s="40">
        <f t="shared" si="18"/>
        <v>0</v>
      </c>
      <c r="H59" s="40">
        <f t="shared" si="18"/>
        <v>0</v>
      </c>
      <c r="I59" s="40">
        <f t="shared" si="18"/>
        <v>979739.34000000008</v>
      </c>
      <c r="J59" s="40">
        <f t="shared" si="18"/>
        <v>263977.02999999991</v>
      </c>
      <c r="K59" s="40">
        <f t="shared" si="18"/>
        <v>42059.83</v>
      </c>
    </row>
    <row r="60" spans="1:11">
      <c r="A60" s="38" t="s">
        <v>17</v>
      </c>
      <c r="B60" s="98"/>
      <c r="C60" s="39" t="s">
        <v>260</v>
      </c>
      <c r="D60" s="40">
        <v>31908</v>
      </c>
      <c r="E60" s="40">
        <v>21272</v>
      </c>
      <c r="F60" s="40"/>
      <c r="G60" s="40"/>
      <c r="H60" s="40"/>
      <c r="I60" s="40">
        <f>11313.8+1847.37</f>
        <v>13161.169999999998</v>
      </c>
      <c r="J60" s="40">
        <f>D60-I60</f>
        <v>18746.830000000002</v>
      </c>
      <c r="K60" s="40">
        <f>E60-I60</f>
        <v>8110.8300000000017</v>
      </c>
    </row>
    <row r="61" spans="1:11">
      <c r="A61" s="38" t="s">
        <v>18</v>
      </c>
      <c r="B61" s="98"/>
      <c r="C61" s="39" t="s">
        <v>201</v>
      </c>
      <c r="D61" s="40">
        <f>23378-1000</f>
        <v>22378</v>
      </c>
      <c r="E61" s="40">
        <v>0</v>
      </c>
      <c r="F61" s="40"/>
      <c r="G61" s="40"/>
      <c r="H61" s="40"/>
      <c r="I61" s="40"/>
      <c r="J61" s="40">
        <f>D61-I61</f>
        <v>22378</v>
      </c>
      <c r="K61" s="40">
        <f>E61-I61</f>
        <v>0</v>
      </c>
    </row>
    <row r="62" spans="1:11">
      <c r="A62" s="38" t="s">
        <v>34</v>
      </c>
      <c r="B62" s="98"/>
      <c r="C62" s="39" t="s">
        <v>202</v>
      </c>
      <c r="D62" s="40">
        <v>960077</v>
      </c>
      <c r="E62" s="40">
        <f>745020+54762.4+46172.4</f>
        <v>845954.8</v>
      </c>
      <c r="F62" s="40"/>
      <c r="G62" s="40"/>
      <c r="H62" s="40"/>
      <c r="I62" s="40">
        <v>845954.8</v>
      </c>
      <c r="J62" s="40">
        <f>D62-I62</f>
        <v>114122.19999999995</v>
      </c>
      <c r="K62" s="40">
        <f>E62-I62</f>
        <v>0</v>
      </c>
    </row>
    <row r="63" spans="1:11">
      <c r="A63" s="38" t="s">
        <v>30</v>
      </c>
      <c r="B63" s="98"/>
      <c r="C63" s="39" t="s">
        <v>203</v>
      </c>
      <c r="D63" s="40">
        <f>99638+7721.37</f>
        <v>107359.37</v>
      </c>
      <c r="E63" s="40">
        <v>82449.37</v>
      </c>
      <c r="F63" s="40"/>
      <c r="G63" s="40"/>
      <c r="H63" s="40"/>
      <c r="I63" s="40">
        <v>74449.37</v>
      </c>
      <c r="J63" s="40">
        <f>D63-I63</f>
        <v>32910</v>
      </c>
      <c r="K63" s="40">
        <f>E63-I63</f>
        <v>8000</v>
      </c>
    </row>
    <row r="64" spans="1:11" ht="12.75" customHeight="1">
      <c r="A64" s="38" t="s">
        <v>31</v>
      </c>
      <c r="B64" s="98"/>
      <c r="C64" s="39" t="s">
        <v>204</v>
      </c>
      <c r="D64" s="40">
        <v>15313</v>
      </c>
      <c r="E64" s="40">
        <v>11735</v>
      </c>
      <c r="F64" s="40">
        <v>3294</v>
      </c>
      <c r="G64" s="40"/>
      <c r="H64" s="40"/>
      <c r="I64" s="40">
        <v>6062.47</v>
      </c>
      <c r="J64" s="40">
        <f>D64-I64</f>
        <v>9250.5299999999988</v>
      </c>
      <c r="K64" s="40">
        <f>E64-I64</f>
        <v>5672.53</v>
      </c>
    </row>
    <row r="65" spans="1:11" s="103" customFormat="1" ht="17.25" customHeight="1">
      <c r="A65" s="127" t="s">
        <v>19</v>
      </c>
      <c r="B65" s="102"/>
      <c r="C65" s="42"/>
      <c r="D65" s="43">
        <f t="shared" ref="D65:K65" si="19">SUM(D62:D64)</f>
        <v>1082749.3700000001</v>
      </c>
      <c r="E65" s="43">
        <f t="shared" si="19"/>
        <v>940139.17</v>
      </c>
      <c r="F65" s="43">
        <f t="shared" si="19"/>
        <v>3294</v>
      </c>
      <c r="G65" s="43">
        <f t="shared" si="19"/>
        <v>0</v>
      </c>
      <c r="H65" s="43">
        <f t="shared" si="19"/>
        <v>0</v>
      </c>
      <c r="I65" s="43">
        <f t="shared" si="19"/>
        <v>926466.64</v>
      </c>
      <c r="J65" s="43">
        <f t="shared" si="19"/>
        <v>156282.72999999995</v>
      </c>
      <c r="K65" s="43">
        <f t="shared" si="19"/>
        <v>13672.529999999999</v>
      </c>
    </row>
    <row r="66" spans="1:11">
      <c r="A66" s="38" t="s">
        <v>20</v>
      </c>
      <c r="B66" s="98"/>
      <c r="C66" s="39" t="s">
        <v>205</v>
      </c>
      <c r="D66" s="40">
        <v>56703</v>
      </c>
      <c r="E66" s="40">
        <v>28351</v>
      </c>
      <c r="F66" s="40"/>
      <c r="G66" s="40"/>
      <c r="H66" s="40"/>
      <c r="I66" s="40">
        <v>15000</v>
      </c>
      <c r="J66" s="40">
        <f t="shared" ref="J66:J72" si="20">D66-I66</f>
        <v>41703</v>
      </c>
      <c r="K66" s="40">
        <f t="shared" ref="K66:K72" si="21">E66-I66</f>
        <v>13351</v>
      </c>
    </row>
    <row r="67" spans="1:11">
      <c r="A67" s="38" t="s">
        <v>21</v>
      </c>
      <c r="B67" s="98"/>
      <c r="C67" s="39" t="s">
        <v>261</v>
      </c>
      <c r="D67" s="40">
        <v>49978</v>
      </c>
      <c r="E67" s="40">
        <v>32037</v>
      </c>
      <c r="F67" s="40"/>
      <c r="G67" s="40"/>
      <c r="H67" s="40"/>
      <c r="I67" s="40">
        <v>25111.53</v>
      </c>
      <c r="J67" s="40">
        <f t="shared" si="20"/>
        <v>24866.47</v>
      </c>
      <c r="K67" s="40">
        <f t="shared" si="21"/>
        <v>6925.4700000000012</v>
      </c>
    </row>
    <row r="68" spans="1:11">
      <c r="A68" s="38" t="s">
        <v>22</v>
      </c>
      <c r="B68" s="98"/>
      <c r="C68" s="39" t="s">
        <v>206</v>
      </c>
      <c r="D68" s="40">
        <v>7616</v>
      </c>
      <c r="E68" s="40">
        <v>873</v>
      </c>
      <c r="F68" s="40"/>
      <c r="G68" s="40"/>
      <c r="H68" s="40"/>
      <c r="I68" s="40">
        <v>278.5</v>
      </c>
      <c r="J68" s="40">
        <f t="shared" si="20"/>
        <v>7337.5</v>
      </c>
      <c r="K68" s="40">
        <f t="shared" si="21"/>
        <v>594.5</v>
      </c>
    </row>
    <row r="69" spans="1:11" hidden="1">
      <c r="A69" s="38" t="s">
        <v>23</v>
      </c>
      <c r="B69" s="98"/>
      <c r="C69" s="39" t="s">
        <v>70</v>
      </c>
      <c r="D69" s="40"/>
      <c r="E69" s="40"/>
      <c r="F69" s="40"/>
      <c r="G69" s="40"/>
      <c r="H69" s="40"/>
      <c r="I69" s="40"/>
      <c r="J69" s="40">
        <f t="shared" si="20"/>
        <v>0</v>
      </c>
      <c r="K69" s="40">
        <f t="shared" si="21"/>
        <v>0</v>
      </c>
    </row>
    <row r="70" spans="1:11" hidden="1">
      <c r="A70" s="38" t="s">
        <v>23</v>
      </c>
      <c r="B70" s="98"/>
      <c r="C70" s="39" t="s">
        <v>140</v>
      </c>
      <c r="D70" s="40">
        <v>0</v>
      </c>
      <c r="E70" s="40">
        <v>0</v>
      </c>
      <c r="F70" s="40"/>
      <c r="G70" s="40"/>
      <c r="H70" s="40"/>
      <c r="I70" s="40"/>
      <c r="J70" s="40">
        <f>D70-I70</f>
        <v>0</v>
      </c>
      <c r="K70" s="40">
        <f>E70-I70</f>
        <v>0</v>
      </c>
    </row>
    <row r="71" spans="1:11">
      <c r="A71" s="38" t="s">
        <v>33</v>
      </c>
      <c r="B71" s="98"/>
      <c r="C71" s="39" t="s">
        <v>207</v>
      </c>
      <c r="D71" s="40">
        <v>130604</v>
      </c>
      <c r="E71" s="40">
        <v>94403</v>
      </c>
      <c r="F71" s="40"/>
      <c r="G71" s="40"/>
      <c r="H71" s="40"/>
      <c r="I71" s="40">
        <v>93009.02</v>
      </c>
      <c r="J71" s="40">
        <f t="shared" si="20"/>
        <v>37594.979999999996</v>
      </c>
      <c r="K71" s="40">
        <f t="shared" si="21"/>
        <v>1393.9799999999959</v>
      </c>
    </row>
    <row r="72" spans="1:11" ht="25.5" customHeight="1">
      <c r="A72" s="49" t="s">
        <v>190</v>
      </c>
      <c r="B72" s="98"/>
      <c r="C72" s="39" t="s">
        <v>208</v>
      </c>
      <c r="D72" s="40">
        <v>9217</v>
      </c>
      <c r="E72" s="40">
        <v>4608</v>
      </c>
      <c r="F72" s="40"/>
      <c r="G72" s="40"/>
      <c r="H72" s="40"/>
      <c r="I72" s="40"/>
      <c r="J72" s="40">
        <f t="shared" si="20"/>
        <v>9217</v>
      </c>
      <c r="K72" s="40">
        <f t="shared" si="21"/>
        <v>4608</v>
      </c>
    </row>
    <row r="73" spans="1:11" s="103" customFormat="1" ht="12.75" customHeight="1">
      <c r="A73" s="125" t="s">
        <v>158</v>
      </c>
      <c r="B73" s="102"/>
      <c r="C73" s="42"/>
      <c r="D73" s="43">
        <f>SUM(D71:D72)</f>
        <v>139821</v>
      </c>
      <c r="E73" s="43">
        <f t="shared" ref="E73:K73" si="22">SUM(E71:E72)</f>
        <v>99011</v>
      </c>
      <c r="F73" s="43">
        <f t="shared" si="22"/>
        <v>0</v>
      </c>
      <c r="G73" s="43">
        <f t="shared" si="22"/>
        <v>0</v>
      </c>
      <c r="H73" s="43">
        <f t="shared" si="22"/>
        <v>0</v>
      </c>
      <c r="I73" s="43">
        <f t="shared" si="22"/>
        <v>93009.02</v>
      </c>
      <c r="J73" s="43">
        <f t="shared" si="22"/>
        <v>46811.979999999996</v>
      </c>
      <c r="K73" s="43">
        <f t="shared" si="22"/>
        <v>6001.9799999999959</v>
      </c>
    </row>
    <row r="74" spans="1:11">
      <c r="A74" s="38" t="s">
        <v>22</v>
      </c>
      <c r="B74" s="98"/>
      <c r="C74" s="39" t="s">
        <v>209</v>
      </c>
      <c r="D74" s="40">
        <v>21916</v>
      </c>
      <c r="E74" s="40">
        <v>10834</v>
      </c>
      <c r="F74" s="40"/>
      <c r="G74" s="40"/>
      <c r="H74" s="40"/>
      <c r="I74" s="40">
        <v>1496.33</v>
      </c>
      <c r="J74" s="40">
        <f>D74-I74</f>
        <v>20419.669999999998</v>
      </c>
      <c r="K74" s="40">
        <f>E74-I74</f>
        <v>9337.67</v>
      </c>
    </row>
    <row r="75" spans="1:11">
      <c r="A75" s="38"/>
      <c r="B75" s="98"/>
      <c r="C75" s="39"/>
      <c r="D75" s="40"/>
      <c r="E75" s="40"/>
      <c r="F75" s="40"/>
      <c r="G75" s="40"/>
      <c r="H75" s="40"/>
      <c r="I75" s="40"/>
      <c r="J75" s="40"/>
      <c r="K75" s="40"/>
    </row>
    <row r="76" spans="1:11" ht="116.25" customHeight="1">
      <c r="A76" s="152" t="s">
        <v>298</v>
      </c>
      <c r="B76" s="98"/>
      <c r="C76" s="39"/>
      <c r="D76" s="40">
        <f>D77+D78</f>
        <v>99900</v>
      </c>
      <c r="E76" s="40">
        <f t="shared" ref="E76:K76" si="23">E77+E78</f>
        <v>99900</v>
      </c>
      <c r="F76" s="40">
        <f t="shared" si="23"/>
        <v>0</v>
      </c>
      <c r="G76" s="40">
        <f t="shared" si="23"/>
        <v>0</v>
      </c>
      <c r="H76" s="40">
        <f t="shared" si="23"/>
        <v>0</v>
      </c>
      <c r="I76" s="40">
        <f t="shared" si="23"/>
        <v>0</v>
      </c>
      <c r="J76" s="40">
        <f t="shared" si="23"/>
        <v>99900</v>
      </c>
      <c r="K76" s="40">
        <f t="shared" si="23"/>
        <v>99900</v>
      </c>
    </row>
    <row r="77" spans="1:11">
      <c r="A77" s="38" t="s">
        <v>21</v>
      </c>
      <c r="B77" s="98"/>
      <c r="C77" s="39" t="s">
        <v>296</v>
      </c>
      <c r="D77" s="40">
        <v>1000</v>
      </c>
      <c r="E77" s="40">
        <v>1000</v>
      </c>
      <c r="F77" s="40"/>
      <c r="G77" s="40"/>
      <c r="H77" s="40"/>
      <c r="I77" s="40"/>
      <c r="J77" s="40">
        <f>D77-I77</f>
        <v>1000</v>
      </c>
      <c r="K77" s="40">
        <f>E77-I77</f>
        <v>1000</v>
      </c>
    </row>
    <row r="78" spans="1:11">
      <c r="A78" s="38" t="s">
        <v>21</v>
      </c>
      <c r="B78" s="98"/>
      <c r="C78" s="39" t="s">
        <v>297</v>
      </c>
      <c r="D78" s="40">
        <v>98900</v>
      </c>
      <c r="E78" s="40">
        <v>98900</v>
      </c>
      <c r="F78" s="40"/>
      <c r="G78" s="40"/>
      <c r="H78" s="40"/>
      <c r="I78" s="40"/>
      <c r="J78" s="40">
        <f>D78-I78</f>
        <v>98900</v>
      </c>
      <c r="K78" s="40">
        <f>E78-I78</f>
        <v>98900</v>
      </c>
    </row>
    <row r="79" spans="1:11">
      <c r="A79" s="38"/>
      <c r="B79" s="98"/>
      <c r="C79" s="39"/>
      <c r="D79" s="40"/>
      <c r="E79" s="40"/>
      <c r="F79" s="40"/>
      <c r="G79" s="40"/>
      <c r="H79" s="40"/>
      <c r="I79" s="40"/>
      <c r="J79" s="40"/>
      <c r="K79" s="40"/>
    </row>
    <row r="80" spans="1:11" s="104" customFormat="1" ht="90">
      <c r="A80" s="140" t="s">
        <v>188</v>
      </c>
      <c r="B80" s="52"/>
      <c r="C80" s="45"/>
      <c r="D80" s="46">
        <f>D81+D82</f>
        <v>2000</v>
      </c>
      <c r="E80" s="46">
        <f t="shared" ref="E80:K80" si="24">E81+E82</f>
        <v>1000</v>
      </c>
      <c r="F80" s="46">
        <f t="shared" si="24"/>
        <v>0</v>
      </c>
      <c r="G80" s="46">
        <f t="shared" si="24"/>
        <v>0</v>
      </c>
      <c r="H80" s="46">
        <f t="shared" si="24"/>
        <v>0</v>
      </c>
      <c r="I80" s="46">
        <f t="shared" si="24"/>
        <v>0</v>
      </c>
      <c r="J80" s="46">
        <f t="shared" si="24"/>
        <v>2000</v>
      </c>
      <c r="K80" s="46">
        <f t="shared" si="24"/>
        <v>1000</v>
      </c>
    </row>
    <row r="81" spans="1:12">
      <c r="A81" s="38" t="s">
        <v>21</v>
      </c>
      <c r="B81" s="98"/>
      <c r="C81" s="39" t="s">
        <v>257</v>
      </c>
      <c r="D81" s="40">
        <v>1000</v>
      </c>
      <c r="E81" s="40">
        <v>0</v>
      </c>
      <c r="F81" s="40"/>
      <c r="G81" s="40"/>
      <c r="H81" s="40"/>
      <c r="I81" s="40">
        <v>0</v>
      </c>
      <c r="J81" s="40">
        <f>D81-I81</f>
        <v>1000</v>
      </c>
      <c r="K81" s="40">
        <f>E81-I81</f>
        <v>0</v>
      </c>
    </row>
    <row r="82" spans="1:12">
      <c r="A82" s="38" t="s">
        <v>21</v>
      </c>
      <c r="B82" s="98"/>
      <c r="C82" s="39" t="s">
        <v>258</v>
      </c>
      <c r="D82" s="40">
        <v>1000</v>
      </c>
      <c r="E82" s="40">
        <v>1000</v>
      </c>
      <c r="F82" s="40"/>
      <c r="G82" s="40"/>
      <c r="H82" s="40"/>
      <c r="I82" s="40">
        <v>0</v>
      </c>
      <c r="J82" s="40">
        <f>D82-I82</f>
        <v>1000</v>
      </c>
      <c r="K82" s="40">
        <f>E82-I82</f>
        <v>1000</v>
      </c>
    </row>
    <row r="83" spans="1:12" s="104" customFormat="1">
      <c r="A83" s="72"/>
      <c r="B83" s="52"/>
      <c r="C83" s="45"/>
      <c r="D83" s="46"/>
      <c r="E83" s="46"/>
      <c r="F83" s="46"/>
      <c r="G83" s="46"/>
      <c r="H83" s="46"/>
      <c r="I83" s="46"/>
      <c r="J83" s="46"/>
      <c r="K83" s="46"/>
    </row>
    <row r="84" spans="1:12" s="104" customFormat="1" ht="90">
      <c r="A84" s="141" t="s">
        <v>189</v>
      </c>
      <c r="B84" s="52"/>
      <c r="C84" s="45" t="s">
        <v>210</v>
      </c>
      <c r="D84" s="46">
        <v>13871</v>
      </c>
      <c r="E84" s="46">
        <v>6935</v>
      </c>
      <c r="F84" s="46"/>
      <c r="G84" s="46"/>
      <c r="H84" s="46"/>
      <c r="I84" s="46"/>
      <c r="J84" s="40">
        <f>D84-I84</f>
        <v>13871</v>
      </c>
      <c r="K84" s="40">
        <f>E84-I84</f>
        <v>6935</v>
      </c>
      <c r="L84" s="101"/>
    </row>
    <row r="85" spans="1:12" s="104" customFormat="1">
      <c r="A85" s="47"/>
      <c r="B85" s="52"/>
      <c r="C85" s="45"/>
      <c r="D85" s="46"/>
      <c r="E85" s="46"/>
      <c r="F85" s="46"/>
      <c r="G85" s="46"/>
      <c r="H85" s="46"/>
      <c r="I85" s="46"/>
      <c r="J85" s="40"/>
      <c r="K85" s="40"/>
      <c r="L85" s="101"/>
    </row>
    <row r="86" spans="1:12" s="104" customFormat="1">
      <c r="A86" s="135" t="s">
        <v>174</v>
      </c>
      <c r="B86" s="52"/>
      <c r="C86" s="51" t="s">
        <v>175</v>
      </c>
      <c r="D86" s="46">
        <f>D96</f>
        <v>5000</v>
      </c>
      <c r="E86" s="46">
        <f t="shared" ref="E86:K86" si="25">E96</f>
        <v>0</v>
      </c>
      <c r="F86" s="46">
        <f t="shared" si="25"/>
        <v>0</v>
      </c>
      <c r="G86" s="46">
        <f t="shared" si="25"/>
        <v>0</v>
      </c>
      <c r="H86" s="46">
        <f t="shared" si="25"/>
        <v>0</v>
      </c>
      <c r="I86" s="46">
        <f t="shared" si="25"/>
        <v>0</v>
      </c>
      <c r="J86" s="46">
        <f t="shared" si="25"/>
        <v>5000</v>
      </c>
      <c r="K86" s="46">
        <f t="shared" si="25"/>
        <v>0</v>
      </c>
      <c r="L86" s="101"/>
    </row>
    <row r="87" spans="1:12" s="104" customFormat="1" hidden="1">
      <c r="A87" s="38" t="s">
        <v>21</v>
      </c>
      <c r="B87" s="52"/>
      <c r="C87" s="39" t="s">
        <v>121</v>
      </c>
      <c r="D87" s="40"/>
      <c r="E87" s="40"/>
      <c r="F87" s="46"/>
      <c r="G87" s="46"/>
      <c r="H87" s="46"/>
      <c r="I87" s="40"/>
      <c r="J87" s="40">
        <f>D87-I87</f>
        <v>0</v>
      </c>
      <c r="K87" s="40">
        <f>E87-I87</f>
        <v>0</v>
      </c>
      <c r="L87" s="101"/>
    </row>
    <row r="88" spans="1:12" s="104" customFormat="1" hidden="1">
      <c r="A88" s="38" t="s">
        <v>21</v>
      </c>
      <c r="B88" s="52"/>
      <c r="C88" s="39" t="s">
        <v>122</v>
      </c>
      <c r="D88" s="40"/>
      <c r="E88" s="40"/>
      <c r="F88" s="46"/>
      <c r="G88" s="46"/>
      <c r="H88" s="46"/>
      <c r="I88" s="40"/>
      <c r="J88" s="40">
        <f>D88-I88</f>
        <v>0</v>
      </c>
      <c r="K88" s="40">
        <f>E88-I88</f>
        <v>0</v>
      </c>
      <c r="L88" s="101"/>
    </row>
    <row r="89" spans="1:12" s="104" customFormat="1" hidden="1">
      <c r="A89" s="38"/>
      <c r="B89" s="52"/>
      <c r="C89" s="45"/>
      <c r="D89" s="46">
        <f>SUM(D87:D88)</f>
        <v>0</v>
      </c>
      <c r="E89" s="46">
        <f t="shared" ref="E89:K89" si="26">SUM(E87:E88)</f>
        <v>0</v>
      </c>
      <c r="F89" s="46">
        <f t="shared" si="26"/>
        <v>0</v>
      </c>
      <c r="G89" s="46">
        <f t="shared" si="26"/>
        <v>0</v>
      </c>
      <c r="H89" s="46">
        <f t="shared" si="26"/>
        <v>0</v>
      </c>
      <c r="I89" s="46">
        <f t="shared" si="26"/>
        <v>0</v>
      </c>
      <c r="J89" s="46">
        <f t="shared" si="26"/>
        <v>0</v>
      </c>
      <c r="K89" s="46">
        <f t="shared" si="26"/>
        <v>0</v>
      </c>
      <c r="L89" s="101"/>
    </row>
    <row r="90" spans="1:12" s="104" customFormat="1" hidden="1">
      <c r="A90" s="44"/>
      <c r="B90" s="52"/>
      <c r="C90" s="45"/>
      <c r="D90" s="46"/>
      <c r="E90" s="46"/>
      <c r="F90" s="46"/>
      <c r="G90" s="46"/>
      <c r="H90" s="46"/>
      <c r="I90" s="46"/>
      <c r="J90" s="40"/>
      <c r="K90" s="40"/>
      <c r="L90" s="101"/>
    </row>
    <row r="91" spans="1:12" hidden="1">
      <c r="A91" s="38" t="s">
        <v>26</v>
      </c>
      <c r="B91" s="98"/>
      <c r="C91" s="39" t="s">
        <v>107</v>
      </c>
      <c r="D91" s="40"/>
      <c r="E91" s="40"/>
      <c r="F91" s="40"/>
      <c r="G91" s="40"/>
      <c r="H91" s="40"/>
      <c r="I91" s="40"/>
      <c r="J91" s="40">
        <f>D91-I91</f>
        <v>0</v>
      </c>
      <c r="K91" s="40">
        <f>E91-I91</f>
        <v>0</v>
      </c>
    </row>
    <row r="92" spans="1:12" hidden="1">
      <c r="A92" s="74" t="s">
        <v>113</v>
      </c>
      <c r="B92" s="98"/>
      <c r="C92" s="39" t="s">
        <v>108</v>
      </c>
      <c r="D92" s="40"/>
      <c r="E92" s="40"/>
      <c r="F92" s="40"/>
      <c r="G92" s="40"/>
      <c r="H92" s="40"/>
      <c r="I92" s="40"/>
      <c r="J92" s="40">
        <f>D92-I92</f>
        <v>0</v>
      </c>
      <c r="K92" s="40">
        <f>E92-I92</f>
        <v>0</v>
      </c>
    </row>
    <row r="93" spans="1:12" ht="14.25" hidden="1" customHeight="1">
      <c r="A93" s="74" t="s">
        <v>114</v>
      </c>
      <c r="B93" s="98"/>
      <c r="C93" s="39" t="s">
        <v>109</v>
      </c>
      <c r="D93" s="40"/>
      <c r="E93" s="40"/>
      <c r="F93" s="40"/>
      <c r="G93" s="40"/>
      <c r="H93" s="40"/>
      <c r="I93" s="40"/>
      <c r="J93" s="40">
        <f>D93-I93</f>
        <v>0</v>
      </c>
      <c r="K93" s="40">
        <f>E93-I93</f>
        <v>0</v>
      </c>
    </row>
    <row r="94" spans="1:12" s="103" customFormat="1" hidden="1">
      <c r="A94" s="41" t="s">
        <v>90</v>
      </c>
      <c r="B94" s="102"/>
      <c r="C94" s="42"/>
      <c r="D94" s="43">
        <f t="shared" ref="D94:K94" si="27">SUM(D92:D93)</f>
        <v>0</v>
      </c>
      <c r="E94" s="43">
        <f t="shared" si="27"/>
        <v>0</v>
      </c>
      <c r="F94" s="43">
        <f t="shared" si="27"/>
        <v>0</v>
      </c>
      <c r="G94" s="43">
        <f t="shared" si="27"/>
        <v>0</v>
      </c>
      <c r="H94" s="43">
        <f t="shared" si="27"/>
        <v>0</v>
      </c>
      <c r="I94" s="43">
        <f t="shared" si="27"/>
        <v>0</v>
      </c>
      <c r="J94" s="43">
        <f t="shared" si="27"/>
        <v>0</v>
      </c>
      <c r="K94" s="43">
        <f t="shared" si="27"/>
        <v>0</v>
      </c>
      <c r="L94" s="105"/>
    </row>
    <row r="95" spans="1:12" s="104" customFormat="1" hidden="1">
      <c r="A95" s="72" t="s">
        <v>130</v>
      </c>
      <c r="B95" s="52"/>
      <c r="C95" s="45"/>
      <c r="D95" s="46">
        <f t="shared" ref="D95:K95" si="28">D91+D94</f>
        <v>0</v>
      </c>
      <c r="E95" s="46">
        <f t="shared" si="28"/>
        <v>0</v>
      </c>
      <c r="F95" s="46">
        <f t="shared" si="28"/>
        <v>0</v>
      </c>
      <c r="G95" s="46">
        <f t="shared" si="28"/>
        <v>0</v>
      </c>
      <c r="H95" s="46">
        <f t="shared" si="28"/>
        <v>0</v>
      </c>
      <c r="I95" s="46">
        <f t="shared" si="28"/>
        <v>0</v>
      </c>
      <c r="J95" s="46">
        <f t="shared" si="28"/>
        <v>0</v>
      </c>
      <c r="K95" s="46">
        <f t="shared" si="28"/>
        <v>0</v>
      </c>
      <c r="L95" s="101"/>
    </row>
    <row r="96" spans="1:12" s="104" customFormat="1">
      <c r="A96" s="73" t="s">
        <v>22</v>
      </c>
      <c r="B96" s="52"/>
      <c r="C96" s="45" t="s">
        <v>211</v>
      </c>
      <c r="D96" s="46">
        <v>5000</v>
      </c>
      <c r="E96" s="46">
        <v>0</v>
      </c>
      <c r="F96" s="46"/>
      <c r="G96" s="46"/>
      <c r="H96" s="46"/>
      <c r="I96" s="46">
        <v>0</v>
      </c>
      <c r="J96" s="46">
        <f>D96-I96</f>
        <v>5000</v>
      </c>
      <c r="K96" s="46">
        <f>E96-I96</f>
        <v>0</v>
      </c>
    </row>
    <row r="97" spans="1:11" s="104" customFormat="1">
      <c r="A97" s="73"/>
      <c r="B97" s="52"/>
      <c r="C97" s="45"/>
      <c r="D97" s="46"/>
      <c r="E97" s="46"/>
      <c r="F97" s="46"/>
      <c r="G97" s="46"/>
      <c r="H97" s="46"/>
      <c r="I97" s="46"/>
      <c r="J97" s="46"/>
      <c r="K97" s="46"/>
    </row>
    <row r="98" spans="1:11" s="104" customFormat="1">
      <c r="A98" s="123" t="s">
        <v>145</v>
      </c>
      <c r="B98" s="106"/>
      <c r="C98" s="51" t="s">
        <v>176</v>
      </c>
      <c r="D98" s="46">
        <f>D100</f>
        <v>2270</v>
      </c>
      <c r="E98" s="46">
        <f t="shared" ref="E98:K98" si="29">E100</f>
        <v>1136</v>
      </c>
      <c r="F98" s="46">
        <f t="shared" si="29"/>
        <v>0</v>
      </c>
      <c r="G98" s="46">
        <f t="shared" si="29"/>
        <v>0</v>
      </c>
      <c r="H98" s="46">
        <f t="shared" si="29"/>
        <v>0</v>
      </c>
      <c r="I98" s="46">
        <f t="shared" si="29"/>
        <v>560</v>
      </c>
      <c r="J98" s="46">
        <f t="shared" si="29"/>
        <v>1710</v>
      </c>
      <c r="K98" s="46">
        <f t="shared" si="29"/>
        <v>576</v>
      </c>
    </row>
    <row r="99" spans="1:11" s="104" customFormat="1" hidden="1">
      <c r="A99" s="38" t="s">
        <v>23</v>
      </c>
      <c r="B99" s="106"/>
      <c r="C99" s="39" t="s">
        <v>133</v>
      </c>
      <c r="D99" s="40">
        <v>0</v>
      </c>
      <c r="E99" s="40">
        <v>0</v>
      </c>
      <c r="F99" s="40"/>
      <c r="G99" s="40"/>
      <c r="H99" s="40"/>
      <c r="I99" s="40">
        <v>0</v>
      </c>
      <c r="J99" s="40">
        <f>D99-I99</f>
        <v>0</v>
      </c>
      <c r="K99" s="40">
        <f>E99-I99</f>
        <v>0</v>
      </c>
    </row>
    <row r="100" spans="1:11" s="104" customFormat="1" ht="24">
      <c r="A100" s="70" t="s">
        <v>32</v>
      </c>
      <c r="B100" s="106"/>
      <c r="C100" s="39" t="s">
        <v>212</v>
      </c>
      <c r="D100" s="40">
        <v>2270</v>
      </c>
      <c r="E100" s="40">
        <v>1136</v>
      </c>
      <c r="F100" s="40"/>
      <c r="G100" s="40"/>
      <c r="H100" s="40"/>
      <c r="I100" s="40">
        <v>560</v>
      </c>
      <c r="J100" s="40">
        <f>D100-I100</f>
        <v>1710</v>
      </c>
      <c r="K100" s="40">
        <f>E100-I100</f>
        <v>576</v>
      </c>
    </row>
    <row r="101" spans="1:11" s="104" customFormat="1">
      <c r="A101" s="53"/>
      <c r="B101" s="106"/>
      <c r="C101" s="45"/>
      <c r="D101" s="46"/>
      <c r="E101" s="46"/>
      <c r="F101" s="46"/>
      <c r="G101" s="46"/>
      <c r="H101" s="46"/>
      <c r="I101" s="46"/>
      <c r="J101" s="46"/>
      <c r="K101" s="46"/>
    </row>
    <row r="102" spans="1:11" s="104" customFormat="1">
      <c r="A102" s="123" t="s">
        <v>146</v>
      </c>
      <c r="B102" s="106"/>
      <c r="C102" s="51" t="s">
        <v>177</v>
      </c>
      <c r="D102" s="46">
        <f>D103</f>
        <v>80100</v>
      </c>
      <c r="E102" s="46">
        <f t="shared" ref="E102:K102" si="30">E103</f>
        <v>40050</v>
      </c>
      <c r="F102" s="46">
        <f t="shared" si="30"/>
        <v>0</v>
      </c>
      <c r="G102" s="46">
        <f t="shared" si="30"/>
        <v>0</v>
      </c>
      <c r="H102" s="46">
        <f t="shared" si="30"/>
        <v>0</v>
      </c>
      <c r="I102" s="46">
        <f t="shared" si="30"/>
        <v>17142.7</v>
      </c>
      <c r="J102" s="46">
        <f t="shared" si="30"/>
        <v>62957.3</v>
      </c>
      <c r="K102" s="46">
        <f t="shared" si="30"/>
        <v>22907.3</v>
      </c>
    </row>
    <row r="103" spans="1:11" s="104" customFormat="1">
      <c r="A103" s="123" t="s">
        <v>147</v>
      </c>
      <c r="B103" s="106"/>
      <c r="C103" s="51" t="s">
        <v>178</v>
      </c>
      <c r="D103" s="46">
        <f>D104+D113+D115+D116+D121</f>
        <v>80100</v>
      </c>
      <c r="E103" s="46">
        <f t="shared" ref="E103:K103" si="31">E104+E113+E115+E116+E121</f>
        <v>40050</v>
      </c>
      <c r="F103" s="46">
        <f t="shared" si="31"/>
        <v>0</v>
      </c>
      <c r="G103" s="46">
        <f t="shared" si="31"/>
        <v>0</v>
      </c>
      <c r="H103" s="46">
        <f t="shared" si="31"/>
        <v>0</v>
      </c>
      <c r="I103" s="46">
        <f t="shared" si="31"/>
        <v>17142.7</v>
      </c>
      <c r="J103" s="46">
        <f t="shared" si="31"/>
        <v>62957.3</v>
      </c>
      <c r="K103" s="46">
        <f t="shared" si="31"/>
        <v>22907.3</v>
      </c>
    </row>
    <row r="104" spans="1:11" s="104" customFormat="1">
      <c r="A104" s="125" t="s">
        <v>159</v>
      </c>
      <c r="B104" s="106"/>
      <c r="C104" s="45"/>
      <c r="D104" s="46">
        <f>D105+D107+D111</f>
        <v>60867</v>
      </c>
      <c r="E104" s="46">
        <f t="shared" ref="E104:K104" si="32">E105+E107+E111</f>
        <v>30433</v>
      </c>
      <c r="F104" s="46">
        <f t="shared" si="32"/>
        <v>0</v>
      </c>
      <c r="G104" s="46">
        <f t="shared" si="32"/>
        <v>0</v>
      </c>
      <c r="H104" s="46">
        <f t="shared" si="32"/>
        <v>0</v>
      </c>
      <c r="I104" s="46">
        <f t="shared" si="32"/>
        <v>17142.7</v>
      </c>
      <c r="J104" s="46">
        <f t="shared" si="32"/>
        <v>43724.3</v>
      </c>
      <c r="K104" s="46">
        <f t="shared" si="32"/>
        <v>13290.3</v>
      </c>
    </row>
    <row r="105" spans="1:11">
      <c r="A105" s="38" t="s">
        <v>16</v>
      </c>
      <c r="B105" s="98"/>
      <c r="C105" s="39" t="s">
        <v>213</v>
      </c>
      <c r="D105" s="40">
        <v>44829</v>
      </c>
      <c r="E105" s="40">
        <v>22414</v>
      </c>
      <c r="F105" s="40"/>
      <c r="G105" s="40"/>
      <c r="H105" s="40"/>
      <c r="I105" s="40">
        <f>9875.25+1579.45+1712</f>
        <v>13166.7</v>
      </c>
      <c r="J105" s="40">
        <f>D105-I105</f>
        <v>31662.3</v>
      </c>
      <c r="K105" s="40">
        <f>E105-I105</f>
        <v>9247.2999999999993</v>
      </c>
    </row>
    <row r="106" spans="1:11" ht="22.5" hidden="1">
      <c r="A106" s="47" t="s">
        <v>28</v>
      </c>
      <c r="B106" s="98"/>
      <c r="C106" s="39" t="s">
        <v>35</v>
      </c>
      <c r="D106" s="40"/>
      <c r="E106" s="40"/>
      <c r="F106" s="40"/>
      <c r="G106" s="40"/>
      <c r="H106" s="40"/>
      <c r="I106" s="40"/>
      <c r="J106" s="40">
        <f>D106-I106</f>
        <v>0</v>
      </c>
      <c r="K106" s="40">
        <f>E106-I106</f>
        <v>0</v>
      </c>
    </row>
    <row r="107" spans="1:11" ht="22.5">
      <c r="A107" s="47" t="s">
        <v>29</v>
      </c>
      <c r="B107" s="98"/>
      <c r="C107" s="39" t="s">
        <v>214</v>
      </c>
      <c r="D107" s="40">
        <v>2500</v>
      </c>
      <c r="E107" s="40">
        <v>1250</v>
      </c>
      <c r="F107" s="40"/>
      <c r="G107" s="40"/>
      <c r="H107" s="40"/>
      <c r="I107" s="40">
        <v>0</v>
      </c>
      <c r="J107" s="40">
        <f>D107-I107</f>
        <v>2500</v>
      </c>
      <c r="K107" s="40">
        <f>E107-I107</f>
        <v>1250</v>
      </c>
    </row>
    <row r="108" spans="1:11" s="103" customFormat="1" hidden="1">
      <c r="A108" s="48" t="s">
        <v>92</v>
      </c>
      <c r="B108" s="102"/>
      <c r="C108" s="42"/>
      <c r="D108" s="43">
        <f t="shared" ref="D108:K108" si="33">SUM(D106:D107)</f>
        <v>2500</v>
      </c>
      <c r="E108" s="43">
        <f>SUM(E106:E107)</f>
        <v>1250</v>
      </c>
      <c r="F108" s="43">
        <f t="shared" si="33"/>
        <v>0</v>
      </c>
      <c r="G108" s="43">
        <f t="shared" si="33"/>
        <v>0</v>
      </c>
      <c r="H108" s="43">
        <f t="shared" si="33"/>
        <v>0</v>
      </c>
      <c r="I108" s="43">
        <f t="shared" si="33"/>
        <v>0</v>
      </c>
      <c r="J108" s="43">
        <f t="shared" si="33"/>
        <v>2500</v>
      </c>
      <c r="K108" s="43">
        <f t="shared" si="33"/>
        <v>1250</v>
      </c>
    </row>
    <row r="109" spans="1:11">
      <c r="A109" s="74" t="s">
        <v>113</v>
      </c>
      <c r="B109" s="98"/>
      <c r="C109" s="39" t="s">
        <v>215</v>
      </c>
      <c r="D109" s="40">
        <v>9860</v>
      </c>
      <c r="E109" s="40">
        <v>4930</v>
      </c>
      <c r="F109" s="40"/>
      <c r="G109" s="40"/>
      <c r="H109" s="40"/>
      <c r="I109" s="40">
        <f>2172+724</f>
        <v>2896</v>
      </c>
      <c r="J109" s="40">
        <f>D109-I109</f>
        <v>6964</v>
      </c>
      <c r="K109" s="40">
        <f>E109-I109</f>
        <v>2034</v>
      </c>
    </row>
    <row r="110" spans="1:11">
      <c r="A110" s="74" t="s">
        <v>114</v>
      </c>
      <c r="B110" s="98"/>
      <c r="C110" s="39" t="s">
        <v>216</v>
      </c>
      <c r="D110" s="40">
        <v>3678</v>
      </c>
      <c r="E110" s="40">
        <v>1839</v>
      </c>
      <c r="F110" s="40"/>
      <c r="G110" s="40"/>
      <c r="H110" s="40"/>
      <c r="I110" s="40">
        <f>2982-2172+168+7+95</f>
        <v>1080</v>
      </c>
      <c r="J110" s="40">
        <f>D110-I110</f>
        <v>2598</v>
      </c>
      <c r="K110" s="40">
        <f>E110-I110</f>
        <v>759</v>
      </c>
    </row>
    <row r="111" spans="1:11" s="103" customFormat="1">
      <c r="A111" s="125" t="s">
        <v>160</v>
      </c>
      <c r="B111" s="102"/>
      <c r="C111" s="42"/>
      <c r="D111" s="43">
        <f t="shared" ref="D111:K111" si="34">SUM(D109:D110)</f>
        <v>13538</v>
      </c>
      <c r="E111" s="43">
        <f t="shared" si="34"/>
        <v>6769</v>
      </c>
      <c r="F111" s="43">
        <f t="shared" si="34"/>
        <v>0</v>
      </c>
      <c r="G111" s="43">
        <f t="shared" si="34"/>
        <v>0</v>
      </c>
      <c r="H111" s="43">
        <f t="shared" si="34"/>
        <v>0</v>
      </c>
      <c r="I111" s="43">
        <f t="shared" si="34"/>
        <v>3976</v>
      </c>
      <c r="J111" s="43">
        <f t="shared" si="34"/>
        <v>9562</v>
      </c>
      <c r="K111" s="43">
        <f t="shared" si="34"/>
        <v>2793</v>
      </c>
    </row>
    <row r="112" spans="1:11" s="103" customFormat="1">
      <c r="A112" s="126"/>
      <c r="B112" s="131"/>
      <c r="C112" s="132"/>
      <c r="D112" s="133"/>
      <c r="E112" s="43"/>
      <c r="F112" s="43"/>
      <c r="G112" s="43"/>
      <c r="H112" s="43"/>
      <c r="I112" s="43"/>
      <c r="J112" s="43"/>
      <c r="K112" s="43"/>
    </row>
    <row r="113" spans="1:11">
      <c r="A113" s="38" t="s">
        <v>21</v>
      </c>
      <c r="B113" s="98"/>
      <c r="C113" s="39" t="s">
        <v>262</v>
      </c>
      <c r="D113" s="40">
        <v>1650</v>
      </c>
      <c r="E113" s="40">
        <v>825</v>
      </c>
      <c r="F113" s="40"/>
      <c r="G113" s="40"/>
      <c r="H113" s="40"/>
      <c r="I113" s="40">
        <v>0</v>
      </c>
      <c r="J113" s="40">
        <f>D113-I113</f>
        <v>1650</v>
      </c>
      <c r="K113" s="40">
        <f>E113-I113</f>
        <v>825</v>
      </c>
    </row>
    <row r="114" spans="1:11" s="103" customFormat="1">
      <c r="A114" s="41"/>
      <c r="B114" s="102"/>
      <c r="C114" s="42"/>
      <c r="D114" s="43"/>
      <c r="E114" s="43"/>
      <c r="F114" s="43"/>
      <c r="G114" s="43"/>
      <c r="H114" s="43"/>
      <c r="I114" s="43"/>
      <c r="J114" s="43"/>
      <c r="K114" s="43"/>
    </row>
    <row r="115" spans="1:11">
      <c r="A115" s="38" t="s">
        <v>18</v>
      </c>
      <c r="B115" s="98"/>
      <c r="C115" s="39" t="s">
        <v>217</v>
      </c>
      <c r="D115" s="40">
        <v>3329</v>
      </c>
      <c r="E115" s="40">
        <v>1664</v>
      </c>
      <c r="F115" s="40"/>
      <c r="G115" s="40"/>
      <c r="H115" s="40"/>
      <c r="I115" s="40">
        <v>0</v>
      </c>
      <c r="J115" s="40">
        <f t="shared" ref="J115:J121" si="35">D115-I115</f>
        <v>3329</v>
      </c>
      <c r="K115" s="40">
        <f t="shared" ref="K115:K121" si="36">E115-I115</f>
        <v>1664</v>
      </c>
    </row>
    <row r="116" spans="1:11" s="110" customFormat="1">
      <c r="A116" s="129" t="s">
        <v>151</v>
      </c>
      <c r="B116" s="109"/>
      <c r="C116" s="54"/>
      <c r="D116" s="55">
        <f>D117+D119</f>
        <v>4444</v>
      </c>
      <c r="E116" s="55">
        <f t="shared" ref="E116:K116" si="37">E117+E119</f>
        <v>2223</v>
      </c>
      <c r="F116" s="55">
        <f t="shared" si="37"/>
        <v>0</v>
      </c>
      <c r="G116" s="55">
        <f t="shared" si="37"/>
        <v>0</v>
      </c>
      <c r="H116" s="55">
        <f t="shared" si="37"/>
        <v>0</v>
      </c>
      <c r="I116" s="55">
        <f t="shared" si="37"/>
        <v>0</v>
      </c>
      <c r="J116" s="55">
        <f t="shared" si="37"/>
        <v>4444</v>
      </c>
      <c r="K116" s="55">
        <f t="shared" si="37"/>
        <v>2223</v>
      </c>
    </row>
    <row r="117" spans="1:11">
      <c r="A117" s="38" t="s">
        <v>20</v>
      </c>
      <c r="B117" s="98"/>
      <c r="C117" s="39" t="s">
        <v>218</v>
      </c>
      <c r="D117" s="40">
        <v>1600</v>
      </c>
      <c r="E117" s="40">
        <v>800</v>
      </c>
      <c r="F117" s="40"/>
      <c r="G117" s="40"/>
      <c r="H117" s="40"/>
      <c r="I117" s="40">
        <v>0</v>
      </c>
      <c r="J117" s="40">
        <f t="shared" si="35"/>
        <v>1600</v>
      </c>
      <c r="K117" s="40">
        <f t="shared" si="36"/>
        <v>800</v>
      </c>
    </row>
    <row r="118" spans="1:11" hidden="1">
      <c r="A118" s="38" t="s">
        <v>21</v>
      </c>
      <c r="B118" s="98"/>
      <c r="C118" s="39" t="s">
        <v>134</v>
      </c>
      <c r="D118" s="40"/>
      <c r="E118" s="40"/>
      <c r="F118" s="40"/>
      <c r="G118" s="40"/>
      <c r="H118" s="40"/>
      <c r="I118" s="40">
        <v>0</v>
      </c>
      <c r="J118" s="40">
        <f t="shared" si="35"/>
        <v>0</v>
      </c>
      <c r="K118" s="40">
        <f t="shared" si="36"/>
        <v>0</v>
      </c>
    </row>
    <row r="119" spans="1:11">
      <c r="A119" s="38" t="s">
        <v>21</v>
      </c>
      <c r="B119" s="98"/>
      <c r="C119" s="39" t="s">
        <v>263</v>
      </c>
      <c r="D119" s="40">
        <v>2844</v>
      </c>
      <c r="E119" s="40">
        <v>1423</v>
      </c>
      <c r="F119" s="40"/>
      <c r="G119" s="40"/>
      <c r="H119" s="40"/>
      <c r="I119" s="40">
        <v>0</v>
      </c>
      <c r="J119" s="40">
        <f t="shared" si="35"/>
        <v>2844</v>
      </c>
      <c r="K119" s="40">
        <f t="shared" si="36"/>
        <v>1423</v>
      </c>
    </row>
    <row r="120" spans="1:11" hidden="1">
      <c r="A120" s="38" t="s">
        <v>23</v>
      </c>
      <c r="B120" s="98"/>
      <c r="C120" s="39" t="s">
        <v>135</v>
      </c>
      <c r="D120" s="40">
        <v>0</v>
      </c>
      <c r="E120" s="40">
        <v>0</v>
      </c>
      <c r="F120" s="40"/>
      <c r="G120" s="40"/>
      <c r="H120" s="40"/>
      <c r="I120" s="40">
        <v>0</v>
      </c>
      <c r="J120" s="40">
        <f t="shared" si="35"/>
        <v>0</v>
      </c>
      <c r="K120" s="40">
        <f t="shared" si="36"/>
        <v>0</v>
      </c>
    </row>
    <row r="121" spans="1:11">
      <c r="A121" s="49" t="s">
        <v>32</v>
      </c>
      <c r="B121" s="98"/>
      <c r="C121" s="39" t="s">
        <v>219</v>
      </c>
      <c r="D121" s="40">
        <v>9810</v>
      </c>
      <c r="E121" s="40">
        <v>4905</v>
      </c>
      <c r="F121" s="40"/>
      <c r="G121" s="40"/>
      <c r="H121" s="40"/>
      <c r="I121" s="40">
        <v>0</v>
      </c>
      <c r="J121" s="40">
        <f t="shared" si="35"/>
        <v>9810</v>
      </c>
      <c r="K121" s="40">
        <f t="shared" si="36"/>
        <v>4905</v>
      </c>
    </row>
    <row r="122" spans="1:11" s="104" customFormat="1">
      <c r="A122" s="44"/>
      <c r="B122" s="52"/>
      <c r="C122" s="45"/>
      <c r="D122" s="46"/>
      <c r="E122" s="46"/>
      <c r="F122" s="46"/>
      <c r="G122" s="46"/>
      <c r="H122" s="46"/>
      <c r="I122" s="46"/>
      <c r="J122" s="46"/>
      <c r="K122" s="46"/>
    </row>
    <row r="123" spans="1:11" s="104" customFormat="1" ht="21.75">
      <c r="A123" s="123" t="s">
        <v>149</v>
      </c>
      <c r="B123" s="52"/>
      <c r="C123" s="51" t="s">
        <v>179</v>
      </c>
      <c r="D123" s="46">
        <f>D124</f>
        <v>3256</v>
      </c>
      <c r="E123" s="46">
        <f t="shared" ref="E123:K123" si="38">E124</f>
        <v>3256</v>
      </c>
      <c r="F123" s="46">
        <f t="shared" si="38"/>
        <v>12705</v>
      </c>
      <c r="G123" s="46">
        <f t="shared" si="38"/>
        <v>0</v>
      </c>
      <c r="H123" s="46">
        <f t="shared" si="38"/>
        <v>0</v>
      </c>
      <c r="I123" s="46">
        <f t="shared" si="38"/>
        <v>0</v>
      </c>
      <c r="J123" s="46">
        <f t="shared" si="38"/>
        <v>3256</v>
      </c>
      <c r="K123" s="46">
        <f t="shared" si="38"/>
        <v>3256</v>
      </c>
    </row>
    <row r="124" spans="1:11" s="104" customFormat="1">
      <c r="A124" s="123" t="s">
        <v>150</v>
      </c>
      <c r="B124" s="52"/>
      <c r="C124" s="51" t="s">
        <v>132</v>
      </c>
      <c r="D124" s="46">
        <f>D128+D129</f>
        <v>3256</v>
      </c>
      <c r="E124" s="46">
        <f t="shared" ref="E124:K124" si="39">E128+E129</f>
        <v>3256</v>
      </c>
      <c r="F124" s="46">
        <f t="shared" si="39"/>
        <v>12705</v>
      </c>
      <c r="G124" s="46">
        <f t="shared" si="39"/>
        <v>0</v>
      </c>
      <c r="H124" s="46">
        <f t="shared" si="39"/>
        <v>0</v>
      </c>
      <c r="I124" s="46">
        <f t="shared" si="39"/>
        <v>0</v>
      </c>
      <c r="J124" s="46">
        <f t="shared" si="39"/>
        <v>3256</v>
      </c>
      <c r="K124" s="46">
        <f t="shared" si="39"/>
        <v>3256</v>
      </c>
    </row>
    <row r="125" spans="1:11" s="104" customFormat="1" hidden="1">
      <c r="A125" s="38" t="s">
        <v>23</v>
      </c>
      <c r="B125" s="52"/>
      <c r="C125" s="39" t="s">
        <v>71</v>
      </c>
      <c r="D125" s="40"/>
      <c r="E125" s="40"/>
      <c r="F125" s="40"/>
      <c r="G125" s="40"/>
      <c r="H125" s="40"/>
      <c r="I125" s="40"/>
      <c r="J125" s="40">
        <f>D125-I125</f>
        <v>0</v>
      </c>
      <c r="K125" s="40">
        <f>E125-I125</f>
        <v>0</v>
      </c>
    </row>
    <row r="126" spans="1:11" s="104" customFormat="1" hidden="1">
      <c r="A126" s="38" t="s">
        <v>23</v>
      </c>
      <c r="B126" s="52"/>
      <c r="C126" s="39" t="s">
        <v>72</v>
      </c>
      <c r="D126" s="40"/>
      <c r="E126" s="40"/>
      <c r="F126" s="40"/>
      <c r="G126" s="40"/>
      <c r="H126" s="40"/>
      <c r="I126" s="40"/>
      <c r="J126" s="40">
        <f>D126-I126</f>
        <v>0</v>
      </c>
      <c r="K126" s="40">
        <f>E126-I126</f>
        <v>0</v>
      </c>
    </row>
    <row r="127" spans="1:11" s="107" customFormat="1">
      <c r="A127" s="125"/>
      <c r="B127" s="52"/>
      <c r="C127" s="45"/>
      <c r="D127" s="46"/>
      <c r="E127" s="46"/>
      <c r="F127" s="46"/>
      <c r="G127" s="46"/>
      <c r="H127" s="46"/>
      <c r="I127" s="46"/>
      <c r="J127" s="46"/>
      <c r="K127" s="46"/>
    </row>
    <row r="128" spans="1:11" s="104" customFormat="1">
      <c r="A128" s="71" t="s">
        <v>141</v>
      </c>
      <c r="B128" s="52"/>
      <c r="C128" s="39" t="s">
        <v>264</v>
      </c>
      <c r="D128" s="46">
        <v>2776</v>
      </c>
      <c r="E128" s="46">
        <v>2776</v>
      </c>
      <c r="F128" s="46">
        <v>12100</v>
      </c>
      <c r="G128" s="46"/>
      <c r="H128" s="46"/>
      <c r="I128" s="46">
        <v>0</v>
      </c>
      <c r="J128" s="40">
        <f>D128-I128</f>
        <v>2776</v>
      </c>
      <c r="K128" s="40">
        <f>E128-I128</f>
        <v>2776</v>
      </c>
    </row>
    <row r="129" spans="1:11" s="104" customFormat="1">
      <c r="A129" s="71" t="s">
        <v>141</v>
      </c>
      <c r="B129" s="52"/>
      <c r="C129" s="39" t="s">
        <v>265</v>
      </c>
      <c r="D129" s="46">
        <v>480</v>
      </c>
      <c r="E129" s="46">
        <v>480</v>
      </c>
      <c r="F129" s="46">
        <v>605</v>
      </c>
      <c r="G129" s="46"/>
      <c r="H129" s="46"/>
      <c r="I129" s="46">
        <v>0</v>
      </c>
      <c r="J129" s="40">
        <f>D129-I129</f>
        <v>480</v>
      </c>
      <c r="K129" s="40">
        <f>E129-I129</f>
        <v>480</v>
      </c>
    </row>
    <row r="130" spans="1:11" s="104" customFormat="1">
      <c r="A130" s="72"/>
      <c r="B130" s="52"/>
      <c r="C130" s="39"/>
      <c r="D130" s="46"/>
      <c r="E130" s="46"/>
      <c r="F130" s="46"/>
      <c r="G130" s="46"/>
      <c r="H130" s="46"/>
      <c r="I130" s="46"/>
      <c r="J130" s="46"/>
      <c r="K130" s="46"/>
    </row>
    <row r="131" spans="1:11" s="107" customFormat="1" hidden="1">
      <c r="A131" s="91" t="s">
        <v>118</v>
      </c>
      <c r="B131" s="92"/>
      <c r="C131" s="89" t="s">
        <v>119</v>
      </c>
      <c r="D131" s="90"/>
      <c r="E131" s="90"/>
      <c r="F131" s="90"/>
      <c r="G131" s="90"/>
      <c r="H131" s="90"/>
      <c r="I131" s="90"/>
      <c r="J131" s="90">
        <f>D131-I131</f>
        <v>0</v>
      </c>
      <c r="K131" s="90">
        <f>E131-I131</f>
        <v>0</v>
      </c>
    </row>
    <row r="132" spans="1:11" s="107" customFormat="1" hidden="1">
      <c r="A132" s="91" t="s">
        <v>118</v>
      </c>
      <c r="B132" s="92"/>
      <c r="C132" s="89" t="s">
        <v>123</v>
      </c>
      <c r="D132" s="90"/>
      <c r="E132" s="90"/>
      <c r="F132" s="90"/>
      <c r="G132" s="90"/>
      <c r="H132" s="90"/>
      <c r="I132" s="90"/>
      <c r="J132" s="90">
        <f>D132-I132</f>
        <v>0</v>
      </c>
      <c r="K132" s="90">
        <f>E132-I132</f>
        <v>0</v>
      </c>
    </row>
    <row r="133" spans="1:11" s="107" customFormat="1" hidden="1">
      <c r="A133" s="91" t="s">
        <v>118</v>
      </c>
      <c r="B133" s="92"/>
      <c r="C133" s="89" t="s">
        <v>124</v>
      </c>
      <c r="D133" s="90"/>
      <c r="E133" s="90"/>
      <c r="F133" s="90"/>
      <c r="G133" s="90"/>
      <c r="H133" s="90"/>
      <c r="I133" s="90"/>
      <c r="J133" s="90">
        <f>D133-I133</f>
        <v>0</v>
      </c>
      <c r="K133" s="90">
        <f>E133-I133</f>
        <v>0</v>
      </c>
    </row>
    <row r="134" spans="1:11" s="107" customFormat="1" hidden="1">
      <c r="A134" s="91"/>
      <c r="B134" s="92"/>
      <c r="C134" s="89"/>
      <c r="D134" s="95">
        <f>SUM(D132:D133)</f>
        <v>0</v>
      </c>
      <c r="E134" s="95">
        <f t="shared" ref="E134:K134" si="40">SUM(E132:E133)</f>
        <v>0</v>
      </c>
      <c r="F134" s="95">
        <f t="shared" si="40"/>
        <v>0</v>
      </c>
      <c r="G134" s="95">
        <f t="shared" si="40"/>
        <v>0</v>
      </c>
      <c r="H134" s="95">
        <f t="shared" si="40"/>
        <v>0</v>
      </c>
      <c r="I134" s="95">
        <f t="shared" si="40"/>
        <v>0</v>
      </c>
      <c r="J134" s="95">
        <f t="shared" si="40"/>
        <v>0</v>
      </c>
      <c r="K134" s="95">
        <f t="shared" si="40"/>
        <v>0</v>
      </c>
    </row>
    <row r="135" spans="1:11" s="107" customFormat="1" hidden="1">
      <c r="A135" s="94" t="s">
        <v>125</v>
      </c>
      <c r="B135" s="92"/>
      <c r="C135" s="89"/>
      <c r="D135" s="93">
        <f>SUM(D131:D133)</f>
        <v>0</v>
      </c>
      <c r="E135" s="93">
        <f t="shared" ref="E135:K135" si="41">SUM(E131:E133)</f>
        <v>0</v>
      </c>
      <c r="F135" s="93">
        <f t="shared" si="41"/>
        <v>0</v>
      </c>
      <c r="G135" s="93">
        <f t="shared" si="41"/>
        <v>0</v>
      </c>
      <c r="H135" s="93">
        <f t="shared" si="41"/>
        <v>0</v>
      </c>
      <c r="I135" s="93">
        <f t="shared" si="41"/>
        <v>0</v>
      </c>
      <c r="J135" s="93">
        <f t="shared" si="41"/>
        <v>0</v>
      </c>
      <c r="K135" s="93">
        <f t="shared" si="41"/>
        <v>0</v>
      </c>
    </row>
    <row r="136" spans="1:11" s="107" customFormat="1">
      <c r="A136" s="123" t="s">
        <v>152</v>
      </c>
      <c r="B136" s="92"/>
      <c r="C136" s="51" t="s">
        <v>180</v>
      </c>
      <c r="D136" s="46">
        <f t="shared" ref="D136:I136" si="42">D137+D145</f>
        <v>580522.67000000004</v>
      </c>
      <c r="E136" s="46">
        <f t="shared" si="42"/>
        <v>357522.67</v>
      </c>
      <c r="F136" s="46">
        <f t="shared" si="42"/>
        <v>277550</v>
      </c>
      <c r="G136" s="46">
        <f t="shared" si="42"/>
        <v>0</v>
      </c>
      <c r="H136" s="46">
        <f t="shared" si="42"/>
        <v>0</v>
      </c>
      <c r="I136" s="46">
        <f t="shared" si="42"/>
        <v>80546.67</v>
      </c>
      <c r="J136" s="46">
        <f>D136-I136</f>
        <v>499976.00000000006</v>
      </c>
      <c r="K136" s="46">
        <f>E136-I136</f>
        <v>276976</v>
      </c>
    </row>
    <row r="137" spans="1:11" s="107" customFormat="1">
      <c r="A137" s="123" t="s">
        <v>153</v>
      </c>
      <c r="B137" s="92"/>
      <c r="C137" s="51" t="s">
        <v>148</v>
      </c>
      <c r="D137" s="46">
        <f>D139+D141+D142+D143+D140</f>
        <v>499976</v>
      </c>
      <c r="E137" s="46">
        <f t="shared" ref="E137:K137" si="43">E139+E141+E142+E143+E140</f>
        <v>276976</v>
      </c>
      <c r="F137" s="46">
        <f t="shared" si="43"/>
        <v>277550</v>
      </c>
      <c r="G137" s="46">
        <f t="shared" si="43"/>
        <v>0</v>
      </c>
      <c r="H137" s="46">
        <f t="shared" si="43"/>
        <v>0</v>
      </c>
      <c r="I137" s="46">
        <f t="shared" si="43"/>
        <v>0</v>
      </c>
      <c r="J137" s="46">
        <f t="shared" si="43"/>
        <v>499976</v>
      </c>
      <c r="K137" s="46">
        <f t="shared" si="43"/>
        <v>276976</v>
      </c>
    </row>
    <row r="138" spans="1:11" s="107" customFormat="1">
      <c r="A138" s="127" t="s">
        <v>151</v>
      </c>
      <c r="B138" s="92"/>
      <c r="C138" s="89"/>
      <c r="D138" s="93"/>
      <c r="E138" s="93"/>
      <c r="F138" s="93"/>
      <c r="G138" s="93"/>
      <c r="H138" s="93"/>
      <c r="I138" s="93"/>
      <c r="J138" s="93"/>
      <c r="K138" s="93"/>
    </row>
    <row r="139" spans="1:11" s="104" customFormat="1" ht="17.25" customHeight="1">
      <c r="A139" s="38" t="s">
        <v>20</v>
      </c>
      <c r="B139" s="52"/>
      <c r="C139" s="39" t="s">
        <v>272</v>
      </c>
      <c r="D139" s="40">
        <f>105200-19</f>
        <v>105181</v>
      </c>
      <c r="E139" s="40">
        <v>52581</v>
      </c>
      <c r="F139" s="40">
        <v>55510</v>
      </c>
      <c r="G139" s="40"/>
      <c r="H139" s="40"/>
      <c r="I139" s="40"/>
      <c r="J139" s="40">
        <f>D139-I139</f>
        <v>105181</v>
      </c>
      <c r="K139" s="40">
        <f>E139-I139</f>
        <v>52581</v>
      </c>
    </row>
    <row r="140" spans="1:11" s="104" customFormat="1" ht="17.25" customHeight="1">
      <c r="A140" s="38" t="s">
        <v>20</v>
      </c>
      <c r="B140" s="52"/>
      <c r="C140" s="39" t="s">
        <v>276</v>
      </c>
      <c r="D140" s="40">
        <v>19</v>
      </c>
      <c r="E140" s="40">
        <v>19</v>
      </c>
      <c r="F140" s="40">
        <v>55510</v>
      </c>
      <c r="G140" s="40"/>
      <c r="H140" s="40"/>
      <c r="I140" s="40"/>
      <c r="J140" s="40">
        <f>D140-I140</f>
        <v>19</v>
      </c>
      <c r="K140" s="40">
        <f>E140-I140</f>
        <v>19</v>
      </c>
    </row>
    <row r="141" spans="1:11" s="104" customFormat="1" ht="17.25" customHeight="1">
      <c r="A141" s="38" t="s">
        <v>21</v>
      </c>
      <c r="B141" s="52"/>
      <c r="C141" s="39" t="s">
        <v>266</v>
      </c>
      <c r="D141" s="40">
        <v>376</v>
      </c>
      <c r="E141" s="40">
        <v>376</v>
      </c>
      <c r="F141" s="40">
        <v>55510</v>
      </c>
      <c r="G141" s="40"/>
      <c r="H141" s="40"/>
      <c r="I141" s="40"/>
      <c r="J141" s="40">
        <f>D141-I141</f>
        <v>376</v>
      </c>
      <c r="K141" s="40">
        <f>E141-I141</f>
        <v>376</v>
      </c>
    </row>
    <row r="142" spans="1:11" s="104" customFormat="1" ht="17.25" customHeight="1">
      <c r="A142" s="38" t="s">
        <v>20</v>
      </c>
      <c r="B142" s="52"/>
      <c r="C142" s="39" t="s">
        <v>220</v>
      </c>
      <c r="D142" s="40">
        <v>194400</v>
      </c>
      <c r="E142" s="40">
        <v>124000</v>
      </c>
      <c r="F142" s="40">
        <v>55510</v>
      </c>
      <c r="G142" s="40"/>
      <c r="H142" s="40"/>
      <c r="I142" s="40"/>
      <c r="J142" s="40">
        <f>D142-I142</f>
        <v>194400</v>
      </c>
      <c r="K142" s="40">
        <f>E142-I142</f>
        <v>124000</v>
      </c>
    </row>
    <row r="143" spans="1:11" s="104" customFormat="1" ht="17.25" customHeight="1">
      <c r="A143" s="38" t="s">
        <v>21</v>
      </c>
      <c r="B143" s="52"/>
      <c r="C143" s="39" t="s">
        <v>273</v>
      </c>
      <c r="D143" s="40">
        <v>200000</v>
      </c>
      <c r="E143" s="40">
        <v>100000</v>
      </c>
      <c r="F143" s="40">
        <v>55510</v>
      </c>
      <c r="G143" s="40"/>
      <c r="H143" s="40"/>
      <c r="I143" s="40"/>
      <c r="J143" s="40">
        <f>D143-I143</f>
        <v>200000</v>
      </c>
      <c r="K143" s="40">
        <f>E143-I143</f>
        <v>100000</v>
      </c>
    </row>
    <row r="144" spans="1:11" s="104" customFormat="1" ht="17.25" customHeight="1">
      <c r="A144" s="38"/>
      <c r="B144" s="52"/>
      <c r="C144" s="39"/>
      <c r="D144" s="40"/>
      <c r="E144" s="40"/>
      <c r="F144" s="40"/>
      <c r="G144" s="40"/>
      <c r="H144" s="40"/>
      <c r="I144" s="40"/>
      <c r="J144" s="40"/>
      <c r="K144" s="40"/>
    </row>
    <row r="145" spans="1:11" s="104" customFormat="1" ht="124.5" customHeight="1">
      <c r="A145" s="152" t="s">
        <v>284</v>
      </c>
      <c r="B145" s="73"/>
      <c r="C145" s="45" t="s">
        <v>281</v>
      </c>
      <c r="D145" s="46">
        <v>80546.67</v>
      </c>
      <c r="E145" s="46">
        <v>80546.67</v>
      </c>
      <c r="F145" s="46"/>
      <c r="G145" s="46"/>
      <c r="H145" s="46"/>
      <c r="I145" s="46">
        <v>80546.67</v>
      </c>
      <c r="J145" s="40">
        <f>D145-I145</f>
        <v>0</v>
      </c>
      <c r="K145" s="40">
        <f>E145-I145</f>
        <v>0</v>
      </c>
    </row>
    <row r="146" spans="1:11" s="104" customFormat="1" ht="28.5" customHeight="1">
      <c r="A146" s="73"/>
      <c r="B146" s="73"/>
      <c r="C146" s="45"/>
      <c r="D146" s="46"/>
      <c r="E146" s="46"/>
      <c r="F146" s="46"/>
      <c r="G146" s="46"/>
      <c r="H146" s="46"/>
      <c r="I146" s="46"/>
      <c r="J146" s="46"/>
      <c r="K146" s="46"/>
    </row>
    <row r="147" spans="1:11" s="104" customFormat="1" ht="17.25" customHeight="1">
      <c r="A147" s="123" t="s">
        <v>154</v>
      </c>
      <c r="B147" s="52"/>
      <c r="C147" s="130" t="s">
        <v>164</v>
      </c>
      <c r="D147" s="46">
        <f t="shared" ref="D147:I147" si="44">D151+D149</f>
        <v>16325369.6</v>
      </c>
      <c r="E147" s="46">
        <f t="shared" si="44"/>
        <v>16300057.74</v>
      </c>
      <c r="F147" s="46">
        <f t="shared" si="44"/>
        <v>0</v>
      </c>
      <c r="G147" s="46">
        <f t="shared" si="44"/>
        <v>0</v>
      </c>
      <c r="H147" s="46">
        <f t="shared" si="44"/>
        <v>0</v>
      </c>
      <c r="I147" s="46">
        <f t="shared" si="44"/>
        <v>3157427.69</v>
      </c>
      <c r="J147" s="149">
        <f>D147-I147</f>
        <v>13167941.91</v>
      </c>
      <c r="K147" s="149">
        <f>E147-I147</f>
        <v>13142630.050000001</v>
      </c>
    </row>
    <row r="148" spans="1:11" s="104" customFormat="1" ht="17.25" customHeight="1">
      <c r="A148" s="123"/>
      <c r="B148" s="52"/>
      <c r="C148" s="130"/>
      <c r="D148" s="46"/>
      <c r="E148" s="46"/>
      <c r="F148" s="46"/>
      <c r="G148" s="46"/>
      <c r="H148" s="46"/>
      <c r="I148" s="46"/>
      <c r="J148" s="46"/>
      <c r="K148" s="46"/>
    </row>
    <row r="149" spans="1:11" s="104" customFormat="1" ht="80.25" customHeight="1">
      <c r="A149" s="148" t="s">
        <v>283</v>
      </c>
      <c r="B149" s="52"/>
      <c r="C149" s="151" t="s">
        <v>282</v>
      </c>
      <c r="D149" s="149">
        <v>16086496.6</v>
      </c>
      <c r="E149" s="149">
        <v>16086496.6</v>
      </c>
      <c r="F149" s="149"/>
      <c r="G149" s="149"/>
      <c r="H149" s="149"/>
      <c r="I149" s="149">
        <v>3000000</v>
      </c>
      <c r="J149" s="150">
        <f>D149-I149</f>
        <v>13086496.6</v>
      </c>
      <c r="K149" s="150">
        <f>E149-I149</f>
        <v>13086496.6</v>
      </c>
    </row>
    <row r="150" spans="1:11" s="104" customFormat="1" ht="17.25" customHeight="1">
      <c r="A150" s="123"/>
      <c r="B150" s="52"/>
      <c r="C150" s="130"/>
      <c r="D150" s="46"/>
      <c r="E150" s="46"/>
      <c r="F150" s="46"/>
      <c r="G150" s="46"/>
      <c r="H150" s="46"/>
      <c r="I150" s="46"/>
      <c r="J150" s="46"/>
      <c r="K150" s="46"/>
    </row>
    <row r="151" spans="1:11" s="104" customFormat="1" ht="17.25" customHeight="1">
      <c r="A151" s="123" t="s">
        <v>155</v>
      </c>
      <c r="B151" s="52"/>
      <c r="C151" s="130" t="s">
        <v>163</v>
      </c>
      <c r="D151" s="46">
        <f>D152</f>
        <v>238873</v>
      </c>
      <c r="E151" s="46">
        <f t="shared" ref="E151:K151" si="45">E152</f>
        <v>213561.14</v>
      </c>
      <c r="F151" s="46">
        <f t="shared" si="45"/>
        <v>0</v>
      </c>
      <c r="G151" s="46">
        <f t="shared" si="45"/>
        <v>0</v>
      </c>
      <c r="H151" s="46">
        <f t="shared" si="45"/>
        <v>0</v>
      </c>
      <c r="I151" s="46">
        <f t="shared" si="45"/>
        <v>157427.69</v>
      </c>
      <c r="J151" s="46">
        <f t="shared" si="45"/>
        <v>81445.31</v>
      </c>
      <c r="K151" s="46">
        <f t="shared" si="45"/>
        <v>56133.450000000012</v>
      </c>
    </row>
    <row r="152" spans="1:11" s="107" customFormat="1">
      <c r="A152" s="125" t="s">
        <v>151</v>
      </c>
      <c r="B152" s="92"/>
      <c r="C152" s="124" t="s">
        <v>162</v>
      </c>
      <c r="D152" s="46">
        <f>D153+D154+D156</f>
        <v>238873</v>
      </c>
      <c r="E152" s="46">
        <f t="shared" ref="E152:K152" si="46">E153+E154+E156</f>
        <v>213561.14</v>
      </c>
      <c r="F152" s="46">
        <f t="shared" si="46"/>
        <v>0</v>
      </c>
      <c r="G152" s="46">
        <f t="shared" si="46"/>
        <v>0</v>
      </c>
      <c r="H152" s="46">
        <f t="shared" si="46"/>
        <v>0</v>
      </c>
      <c r="I152" s="46">
        <f t="shared" si="46"/>
        <v>157427.69</v>
      </c>
      <c r="J152" s="46">
        <f t="shared" si="46"/>
        <v>81445.31</v>
      </c>
      <c r="K152" s="46">
        <f t="shared" si="46"/>
        <v>56133.450000000012</v>
      </c>
    </row>
    <row r="153" spans="1:11">
      <c r="A153" s="38" t="s">
        <v>19</v>
      </c>
      <c r="B153" s="98"/>
      <c r="C153" s="39" t="s">
        <v>221</v>
      </c>
      <c r="D153" s="40">
        <v>187252</v>
      </c>
      <c r="E153" s="40">
        <f>163421.14+23830</f>
        <v>187251.14</v>
      </c>
      <c r="F153" s="108"/>
      <c r="G153" s="40"/>
      <c r="H153" s="40"/>
      <c r="I153" s="40">
        <v>157427.69</v>
      </c>
      <c r="J153" s="40">
        <f>D153-I153</f>
        <v>29824.309999999998</v>
      </c>
      <c r="K153" s="40">
        <f>E153-I153</f>
        <v>29823.450000000012</v>
      </c>
    </row>
    <row r="154" spans="1:11">
      <c r="A154" s="71" t="s">
        <v>141</v>
      </c>
      <c r="B154" s="98"/>
      <c r="C154" s="39" t="s">
        <v>267</v>
      </c>
      <c r="D154" s="40">
        <v>50621</v>
      </c>
      <c r="E154" s="40">
        <v>25310</v>
      </c>
      <c r="F154" s="40"/>
      <c r="G154" s="40"/>
      <c r="H154" s="40"/>
      <c r="I154" s="40">
        <v>0</v>
      </c>
      <c r="J154" s="40">
        <f>D154-I154</f>
        <v>50621</v>
      </c>
      <c r="K154" s="40">
        <f>E154-I154</f>
        <v>25310</v>
      </c>
    </row>
    <row r="155" spans="1:11" hidden="1">
      <c r="A155" s="38" t="s">
        <v>20</v>
      </c>
      <c r="B155" s="98"/>
      <c r="C155" s="39" t="s">
        <v>97</v>
      </c>
      <c r="D155" s="40"/>
      <c r="E155" s="40"/>
      <c r="F155" s="40"/>
      <c r="G155" s="40"/>
      <c r="H155" s="40"/>
      <c r="I155" s="40"/>
      <c r="J155" s="40">
        <f>D155-I155</f>
        <v>0</v>
      </c>
      <c r="K155" s="40">
        <f>E155-I155</f>
        <v>0</v>
      </c>
    </row>
    <row r="156" spans="1:11">
      <c r="A156" s="38" t="s">
        <v>21</v>
      </c>
      <c r="B156" s="98"/>
      <c r="C156" s="39" t="s">
        <v>268</v>
      </c>
      <c r="D156" s="40">
        <v>1000</v>
      </c>
      <c r="E156" s="40">
        <v>1000</v>
      </c>
      <c r="F156" s="40"/>
      <c r="G156" s="40"/>
      <c r="H156" s="40"/>
      <c r="I156" s="40">
        <v>0</v>
      </c>
      <c r="J156" s="40">
        <f>D156-I156</f>
        <v>1000</v>
      </c>
      <c r="K156" s="40">
        <f>E156-I156</f>
        <v>1000</v>
      </c>
    </row>
    <row r="157" spans="1:11" s="104" customFormat="1">
      <c r="A157" s="44"/>
      <c r="B157" s="52"/>
      <c r="C157" s="45"/>
      <c r="D157" s="46"/>
      <c r="E157" s="46"/>
      <c r="F157" s="46"/>
      <c r="G157" s="46"/>
      <c r="H157" s="46"/>
      <c r="I157" s="46"/>
      <c r="J157" s="46"/>
      <c r="K157" s="46"/>
    </row>
    <row r="158" spans="1:11" s="104" customFormat="1">
      <c r="A158" s="123" t="s">
        <v>156</v>
      </c>
      <c r="B158" s="52"/>
      <c r="C158" s="130" t="s">
        <v>165</v>
      </c>
      <c r="D158" s="46">
        <f>D159+D179</f>
        <v>3250894</v>
      </c>
      <c r="E158" s="46">
        <f t="shared" ref="E158:K158" si="47">E159+E179</f>
        <v>1796681</v>
      </c>
      <c r="F158" s="46" t="e">
        <f t="shared" si="47"/>
        <v>#REF!</v>
      </c>
      <c r="G158" s="46" t="e">
        <f t="shared" si="47"/>
        <v>#REF!</v>
      </c>
      <c r="H158" s="46" t="e">
        <f t="shared" si="47"/>
        <v>#REF!</v>
      </c>
      <c r="I158" s="46">
        <f t="shared" si="47"/>
        <v>1724275.7000000002</v>
      </c>
      <c r="J158" s="46">
        <f t="shared" si="47"/>
        <v>1526618.2999999998</v>
      </c>
      <c r="K158" s="46">
        <f t="shared" si="47"/>
        <v>72405.299999999988</v>
      </c>
    </row>
    <row r="159" spans="1:11" s="104" customFormat="1" ht="21.75">
      <c r="A159" s="123" t="s">
        <v>157</v>
      </c>
      <c r="B159" s="52"/>
      <c r="C159" s="130" t="s">
        <v>166</v>
      </c>
      <c r="D159" s="46">
        <f>D160+D169+D170+D172+D177</f>
        <v>982470</v>
      </c>
      <c r="E159" s="46">
        <f t="shared" ref="E159:K159" si="48">E160+E169+E170+E172+E177</f>
        <v>465336</v>
      </c>
      <c r="F159" s="46">
        <f t="shared" si="48"/>
        <v>0</v>
      </c>
      <c r="G159" s="46">
        <f t="shared" si="48"/>
        <v>0</v>
      </c>
      <c r="H159" s="46">
        <f t="shared" si="48"/>
        <v>0</v>
      </c>
      <c r="I159" s="46">
        <f t="shared" si="48"/>
        <v>402223.70000000007</v>
      </c>
      <c r="J159" s="46">
        <f t="shared" si="48"/>
        <v>580246.29999999993</v>
      </c>
      <c r="K159" s="46">
        <f t="shared" si="48"/>
        <v>63112.299999999988</v>
      </c>
    </row>
    <row r="160" spans="1:11" s="104" customFormat="1">
      <c r="A160" s="125" t="s">
        <v>159</v>
      </c>
      <c r="B160" s="52"/>
      <c r="C160" s="124" t="s">
        <v>167</v>
      </c>
      <c r="D160" s="46">
        <f>D161+D164+D167</f>
        <v>845602</v>
      </c>
      <c r="E160" s="46">
        <f t="shared" ref="E160:K160" si="49">E161+E164+E167</f>
        <v>396978</v>
      </c>
      <c r="F160" s="46">
        <f t="shared" si="49"/>
        <v>0</v>
      </c>
      <c r="G160" s="46">
        <f t="shared" si="49"/>
        <v>0</v>
      </c>
      <c r="H160" s="46">
        <f t="shared" si="49"/>
        <v>0</v>
      </c>
      <c r="I160" s="46">
        <f t="shared" si="49"/>
        <v>371650.30000000005</v>
      </c>
      <c r="J160" s="46">
        <f t="shared" si="49"/>
        <v>473951.69999999995</v>
      </c>
      <c r="K160" s="46">
        <f t="shared" si="49"/>
        <v>25327.69999999999</v>
      </c>
    </row>
    <row r="161" spans="1:11">
      <c r="A161" s="38" t="s">
        <v>27</v>
      </c>
      <c r="B161" s="98"/>
      <c r="C161" s="39" t="s">
        <v>223</v>
      </c>
      <c r="D161" s="40">
        <v>622582</v>
      </c>
      <c r="E161" s="40">
        <v>284912</v>
      </c>
      <c r="F161" s="40"/>
      <c r="G161" s="40"/>
      <c r="H161" s="40"/>
      <c r="I161" s="40">
        <v>279073.26</v>
      </c>
      <c r="J161" s="40">
        <f>D161-I161</f>
        <v>343508.74</v>
      </c>
      <c r="K161" s="40">
        <f>E161-I161</f>
        <v>5838.7399999999907</v>
      </c>
    </row>
    <row r="162" spans="1:11" ht="22.5">
      <c r="A162" s="47" t="s">
        <v>28</v>
      </c>
      <c r="B162" s="98"/>
      <c r="C162" s="39" t="s">
        <v>222</v>
      </c>
      <c r="D162" s="40">
        <v>18000</v>
      </c>
      <c r="E162" s="40">
        <v>15000</v>
      </c>
      <c r="F162" s="40"/>
      <c r="G162" s="40"/>
      <c r="H162" s="40"/>
      <c r="I162" s="40"/>
      <c r="J162" s="40">
        <f>D162-I162</f>
        <v>18000</v>
      </c>
      <c r="K162" s="40">
        <f>E162-I162</f>
        <v>15000</v>
      </c>
    </row>
    <row r="163" spans="1:11" ht="22.5">
      <c r="A163" s="47" t="s">
        <v>29</v>
      </c>
      <c r="B163" s="98"/>
      <c r="C163" s="39" t="s">
        <v>224</v>
      </c>
      <c r="D163" s="40">
        <v>17000</v>
      </c>
      <c r="E163" s="40">
        <v>8500</v>
      </c>
      <c r="F163" s="40"/>
      <c r="G163" s="40"/>
      <c r="H163" s="40"/>
      <c r="I163" s="40">
        <v>5750</v>
      </c>
      <c r="J163" s="40">
        <f>D163-I163</f>
        <v>11250</v>
      </c>
      <c r="K163" s="40">
        <f>E163-I163</f>
        <v>2750</v>
      </c>
    </row>
    <row r="164" spans="1:11" s="103" customFormat="1">
      <c r="A164" s="48" t="s">
        <v>161</v>
      </c>
      <c r="B164" s="102"/>
      <c r="C164" s="42"/>
      <c r="D164" s="43">
        <f t="shared" ref="D164:K164" si="50">SUM(D162:D163)</f>
        <v>35000</v>
      </c>
      <c r="E164" s="43">
        <f t="shared" si="50"/>
        <v>23500</v>
      </c>
      <c r="F164" s="43">
        <f t="shared" si="50"/>
        <v>0</v>
      </c>
      <c r="G164" s="43">
        <f t="shared" si="50"/>
        <v>0</v>
      </c>
      <c r="H164" s="43">
        <f t="shared" si="50"/>
        <v>0</v>
      </c>
      <c r="I164" s="43">
        <f t="shared" si="50"/>
        <v>5750</v>
      </c>
      <c r="J164" s="43">
        <f t="shared" si="50"/>
        <v>29250</v>
      </c>
      <c r="K164" s="43">
        <f t="shared" si="50"/>
        <v>17750</v>
      </c>
    </row>
    <row r="165" spans="1:11">
      <c r="A165" s="96" t="s">
        <v>113</v>
      </c>
      <c r="B165" s="98"/>
      <c r="C165" s="39" t="s">
        <v>225</v>
      </c>
      <c r="D165" s="40">
        <v>136968</v>
      </c>
      <c r="E165" s="40">
        <f>62680+2524</f>
        <v>65204</v>
      </c>
      <c r="F165" s="40"/>
      <c r="G165" s="40"/>
      <c r="H165" s="40"/>
      <c r="I165" s="40">
        <v>64258</v>
      </c>
      <c r="J165" s="40">
        <f>D165-I165</f>
        <v>72710</v>
      </c>
      <c r="K165" s="40">
        <f>E165-I165</f>
        <v>946</v>
      </c>
    </row>
    <row r="166" spans="1:11">
      <c r="A166" s="96" t="s">
        <v>114</v>
      </c>
      <c r="B166" s="98"/>
      <c r="C166" s="39" t="s">
        <v>226</v>
      </c>
      <c r="D166" s="40">
        <v>51052</v>
      </c>
      <c r="E166" s="40">
        <v>23362</v>
      </c>
      <c r="F166" s="40"/>
      <c r="G166" s="40"/>
      <c r="H166" s="40"/>
      <c r="I166" s="40">
        <v>22569.040000000001</v>
      </c>
      <c r="J166" s="40">
        <f>D166-I166</f>
        <v>28482.959999999999</v>
      </c>
      <c r="K166" s="40">
        <f>E166-I166</f>
        <v>792.95999999999913</v>
      </c>
    </row>
    <row r="167" spans="1:11" s="103" customFormat="1">
      <c r="A167" s="125" t="s">
        <v>160</v>
      </c>
      <c r="B167" s="102"/>
      <c r="C167" s="42"/>
      <c r="D167" s="43">
        <f t="shared" ref="D167:K167" si="51">SUM(D165:D166)</f>
        <v>188020</v>
      </c>
      <c r="E167" s="43">
        <f t="shared" si="51"/>
        <v>88566</v>
      </c>
      <c r="F167" s="43">
        <f t="shared" si="51"/>
        <v>0</v>
      </c>
      <c r="G167" s="43">
        <f t="shared" si="51"/>
        <v>0</v>
      </c>
      <c r="H167" s="43">
        <f t="shared" si="51"/>
        <v>0</v>
      </c>
      <c r="I167" s="43">
        <f t="shared" si="51"/>
        <v>86827.040000000008</v>
      </c>
      <c r="J167" s="43">
        <f t="shared" si="51"/>
        <v>101192.95999999999</v>
      </c>
      <c r="K167" s="43">
        <f t="shared" si="51"/>
        <v>1738.9599999999991</v>
      </c>
    </row>
    <row r="168" spans="1:11" s="103" customFormat="1">
      <c r="A168" s="125"/>
      <c r="B168" s="102"/>
      <c r="C168" s="42"/>
      <c r="D168" s="43"/>
      <c r="E168" s="43"/>
      <c r="F168" s="43"/>
      <c r="G168" s="43"/>
      <c r="H168" s="43"/>
      <c r="I168" s="43"/>
      <c r="J168" s="43"/>
      <c r="K168" s="43"/>
    </row>
    <row r="169" spans="1:11">
      <c r="A169" s="38" t="s">
        <v>18</v>
      </c>
      <c r="B169" s="98"/>
      <c r="C169" s="39" t="s">
        <v>227</v>
      </c>
      <c r="D169" s="40">
        <v>25400</v>
      </c>
      <c r="E169" s="40">
        <v>12700</v>
      </c>
      <c r="F169" s="40"/>
      <c r="G169" s="40"/>
      <c r="H169" s="40"/>
      <c r="I169" s="40">
        <v>9500</v>
      </c>
      <c r="J169" s="40">
        <f>D169-I169</f>
        <v>15900</v>
      </c>
      <c r="K169" s="40">
        <f>E169-I169</f>
        <v>3200</v>
      </c>
    </row>
    <row r="170" spans="1:11">
      <c r="A170" s="38" t="s">
        <v>21</v>
      </c>
      <c r="B170" s="98"/>
      <c r="C170" s="39" t="s">
        <v>269</v>
      </c>
      <c r="D170" s="40">
        <v>13050</v>
      </c>
      <c r="E170" s="40">
        <v>6450</v>
      </c>
      <c r="F170" s="40"/>
      <c r="G170" s="40"/>
      <c r="H170" s="40"/>
      <c r="I170" s="40">
        <v>2530</v>
      </c>
      <c r="J170" s="40">
        <f>D170-I170</f>
        <v>10520</v>
      </c>
      <c r="K170" s="40">
        <f>E170-I170</f>
        <v>3920</v>
      </c>
    </row>
    <row r="171" spans="1:11">
      <c r="A171" s="38"/>
      <c r="B171" s="98"/>
      <c r="C171" s="39"/>
      <c r="D171" s="40"/>
      <c r="E171" s="40"/>
      <c r="F171" s="40"/>
      <c r="G171" s="40"/>
      <c r="H171" s="40"/>
      <c r="I171" s="40"/>
      <c r="J171" s="40"/>
      <c r="K171" s="40"/>
    </row>
    <row r="172" spans="1:11" s="103" customFormat="1">
      <c r="A172" s="125" t="s">
        <v>151</v>
      </c>
      <c r="B172" s="102"/>
      <c r="C172" s="42"/>
      <c r="D172" s="43">
        <f>D173+D174+D175</f>
        <v>80784</v>
      </c>
      <c r="E172" s="43">
        <f t="shared" ref="E172:K172" si="52">E173+E174+E175</f>
        <v>40392</v>
      </c>
      <c r="F172" s="43">
        <f t="shared" si="52"/>
        <v>0</v>
      </c>
      <c r="G172" s="43">
        <f t="shared" si="52"/>
        <v>0</v>
      </c>
      <c r="H172" s="43">
        <f t="shared" si="52"/>
        <v>0</v>
      </c>
      <c r="I172" s="43">
        <f t="shared" si="52"/>
        <v>18543.400000000001</v>
      </c>
      <c r="J172" s="43">
        <f t="shared" si="52"/>
        <v>62240.6</v>
      </c>
      <c r="K172" s="43">
        <f t="shared" si="52"/>
        <v>21848.6</v>
      </c>
    </row>
    <row r="173" spans="1:11">
      <c r="A173" s="38" t="s">
        <v>17</v>
      </c>
      <c r="B173" s="98"/>
      <c r="C173" s="39" t="s">
        <v>270</v>
      </c>
      <c r="D173" s="40">
        <v>11948</v>
      </c>
      <c r="E173" s="40">
        <v>5974</v>
      </c>
      <c r="F173" s="40"/>
      <c r="G173" s="40"/>
      <c r="H173" s="40"/>
      <c r="I173" s="40">
        <f>2482.72+620.68</f>
        <v>3103.3999999999996</v>
      </c>
      <c r="J173" s="40">
        <f>D173-I173</f>
        <v>8844.6</v>
      </c>
      <c r="K173" s="40">
        <f>E173-I173</f>
        <v>2870.6000000000004</v>
      </c>
    </row>
    <row r="174" spans="1:11">
      <c r="A174" s="38" t="s">
        <v>20</v>
      </c>
      <c r="B174" s="98"/>
      <c r="C174" s="39" t="s">
        <v>228</v>
      </c>
      <c r="D174" s="40">
        <v>6252</v>
      </c>
      <c r="E174" s="40">
        <v>3126</v>
      </c>
      <c r="F174" s="40"/>
      <c r="G174" s="40"/>
      <c r="H174" s="40"/>
      <c r="I174" s="40">
        <v>0</v>
      </c>
      <c r="J174" s="40">
        <f>D174-I174</f>
        <v>6252</v>
      </c>
      <c r="K174" s="40">
        <f>E174-I174</f>
        <v>3126</v>
      </c>
    </row>
    <row r="175" spans="1:11">
      <c r="A175" s="38" t="s">
        <v>21</v>
      </c>
      <c r="B175" s="98"/>
      <c r="C175" s="39" t="s">
        <v>271</v>
      </c>
      <c r="D175" s="40">
        <v>62584</v>
      </c>
      <c r="E175" s="40">
        <v>31292</v>
      </c>
      <c r="F175" s="40"/>
      <c r="G175" s="40"/>
      <c r="H175" s="40"/>
      <c r="I175" s="40">
        <v>15440</v>
      </c>
      <c r="J175" s="40">
        <f>D175-I175</f>
        <v>47144</v>
      </c>
      <c r="K175" s="40">
        <f>E175-I175</f>
        <v>15852</v>
      </c>
    </row>
    <row r="176" spans="1:11" hidden="1">
      <c r="A176" s="38" t="s">
        <v>23</v>
      </c>
      <c r="B176" s="98"/>
      <c r="C176" s="89" t="s">
        <v>38</v>
      </c>
      <c r="D176" s="40"/>
      <c r="E176" s="40"/>
      <c r="F176" s="40"/>
      <c r="G176" s="40"/>
      <c r="H176" s="40"/>
      <c r="I176" s="40"/>
      <c r="J176" s="40">
        <f>D176-I176</f>
        <v>0</v>
      </c>
      <c r="K176" s="40">
        <f>E176-I176</f>
        <v>0</v>
      </c>
    </row>
    <row r="177" spans="1:11">
      <c r="A177" s="127" t="s">
        <v>169</v>
      </c>
      <c r="B177" s="98"/>
      <c r="C177" s="39" t="s">
        <v>229</v>
      </c>
      <c r="D177" s="40">
        <v>17634</v>
      </c>
      <c r="E177" s="40">
        <v>8816</v>
      </c>
      <c r="F177" s="40"/>
      <c r="G177" s="40"/>
      <c r="H177" s="40"/>
      <c r="I177" s="40">
        <v>0</v>
      </c>
      <c r="J177" s="40">
        <f>D177-I177</f>
        <v>17634</v>
      </c>
      <c r="K177" s="40">
        <f>E177-I177</f>
        <v>8816</v>
      </c>
    </row>
    <row r="178" spans="1:11">
      <c r="A178" s="127"/>
      <c r="B178" s="98"/>
      <c r="C178" s="39"/>
      <c r="D178" s="40"/>
      <c r="E178" s="40"/>
      <c r="F178" s="40"/>
      <c r="G178" s="40"/>
      <c r="H178" s="40"/>
      <c r="I178" s="40"/>
      <c r="J178" s="40"/>
      <c r="K178" s="40"/>
    </row>
    <row r="179" spans="1:11" s="104" customFormat="1">
      <c r="A179" s="53" t="s">
        <v>172</v>
      </c>
      <c r="B179" s="52"/>
      <c r="C179" s="45" t="s">
        <v>173</v>
      </c>
      <c r="D179" s="46">
        <f t="shared" ref="D179:K179" si="53">D180+D212</f>
        <v>2268424</v>
      </c>
      <c r="E179" s="46">
        <f t="shared" si="53"/>
        <v>1331345</v>
      </c>
      <c r="F179" s="46" t="e">
        <f t="shared" si="53"/>
        <v>#REF!</v>
      </c>
      <c r="G179" s="46" t="e">
        <f t="shared" si="53"/>
        <v>#REF!</v>
      </c>
      <c r="H179" s="46" t="e">
        <f t="shared" si="53"/>
        <v>#REF!</v>
      </c>
      <c r="I179" s="46">
        <f t="shared" si="53"/>
        <v>1322052</v>
      </c>
      <c r="J179" s="46">
        <f t="shared" si="53"/>
        <v>946372</v>
      </c>
      <c r="K179" s="46">
        <f t="shared" si="53"/>
        <v>9293</v>
      </c>
    </row>
    <row r="180" spans="1:11" s="104" customFormat="1" ht="84" customHeight="1">
      <c r="A180" s="142" t="s">
        <v>170</v>
      </c>
      <c r="B180" s="52"/>
      <c r="C180" s="45"/>
      <c r="D180" s="46">
        <f>D181+D191+D200+D202+D204</f>
        <v>1810294</v>
      </c>
      <c r="E180" s="46">
        <f t="shared" ref="E180:K180" si="54">E181+E191+E200+E202+E204</f>
        <v>1091325</v>
      </c>
      <c r="F180" s="46">
        <f t="shared" si="54"/>
        <v>1874</v>
      </c>
      <c r="G180" s="46">
        <f t="shared" si="54"/>
        <v>0</v>
      </c>
      <c r="H180" s="46">
        <f t="shared" si="54"/>
        <v>0</v>
      </c>
      <c r="I180" s="46">
        <f t="shared" si="54"/>
        <v>1082032</v>
      </c>
      <c r="J180" s="46">
        <f t="shared" si="54"/>
        <v>728262</v>
      </c>
      <c r="K180" s="46">
        <f t="shared" si="54"/>
        <v>9293</v>
      </c>
    </row>
    <row r="181" spans="1:11" s="110" customFormat="1">
      <c r="A181" s="125" t="s">
        <v>159</v>
      </c>
      <c r="B181" s="109"/>
      <c r="C181" s="54"/>
      <c r="D181" s="55">
        <f>D182+D187+D190</f>
        <v>1096341</v>
      </c>
      <c r="E181" s="55">
        <f t="shared" ref="E181:K181" si="55">E182+E187+E190</f>
        <v>550336</v>
      </c>
      <c r="F181" s="55">
        <f t="shared" si="55"/>
        <v>1874</v>
      </c>
      <c r="G181" s="55">
        <f t="shared" si="55"/>
        <v>0</v>
      </c>
      <c r="H181" s="55">
        <f t="shared" si="55"/>
        <v>0</v>
      </c>
      <c r="I181" s="55">
        <f t="shared" si="55"/>
        <v>548336</v>
      </c>
      <c r="J181" s="55">
        <f t="shared" si="55"/>
        <v>548005</v>
      </c>
      <c r="K181" s="55">
        <f t="shared" si="55"/>
        <v>2000</v>
      </c>
    </row>
    <row r="182" spans="1:11">
      <c r="A182" s="38" t="s">
        <v>27</v>
      </c>
      <c r="B182" s="102"/>
      <c r="C182" s="39" t="s">
        <v>231</v>
      </c>
      <c r="D182" s="40">
        <f>853145-15518</f>
        <v>837627</v>
      </c>
      <c r="E182" s="40">
        <f>419614</f>
        <v>419614</v>
      </c>
      <c r="F182" s="40"/>
      <c r="G182" s="40"/>
      <c r="H182" s="40"/>
      <c r="I182" s="40">
        <v>419614</v>
      </c>
      <c r="J182" s="40">
        <f>D182-I182</f>
        <v>418013</v>
      </c>
      <c r="K182" s="40">
        <f>E182-I182</f>
        <v>0</v>
      </c>
    </row>
    <row r="183" spans="1:11" ht="22.5" hidden="1">
      <c r="A183" s="47" t="s">
        <v>28</v>
      </c>
      <c r="B183" s="98"/>
      <c r="C183" s="39" t="s">
        <v>112</v>
      </c>
      <c r="D183" s="40"/>
      <c r="E183" s="40"/>
      <c r="F183" s="40"/>
      <c r="G183" s="40"/>
      <c r="H183" s="40"/>
      <c r="I183" s="40"/>
      <c r="J183" s="40">
        <f>D183-I183</f>
        <v>0</v>
      </c>
      <c r="K183" s="40">
        <f>E183-I183</f>
        <v>0</v>
      </c>
    </row>
    <row r="184" spans="1:11" ht="22.5">
      <c r="A184" s="47" t="s">
        <v>28</v>
      </c>
      <c r="B184" s="98"/>
      <c r="C184" s="39" t="s">
        <v>230</v>
      </c>
      <c r="D184" s="40">
        <v>2000</v>
      </c>
      <c r="E184" s="40">
        <v>2000</v>
      </c>
      <c r="F184" s="40"/>
      <c r="G184" s="40"/>
      <c r="H184" s="40"/>
      <c r="I184" s="40">
        <v>0</v>
      </c>
      <c r="J184" s="40">
        <f>D184-I184</f>
        <v>2000</v>
      </c>
      <c r="K184" s="40">
        <f>E184-I184</f>
        <v>2000</v>
      </c>
    </row>
    <row r="185" spans="1:11" ht="22.5">
      <c r="A185" s="47" t="s">
        <v>29</v>
      </c>
      <c r="B185" s="98"/>
      <c r="C185" s="39" t="s">
        <v>232</v>
      </c>
      <c r="D185" s="40">
        <v>3750</v>
      </c>
      <c r="E185" s="40">
        <v>2000</v>
      </c>
      <c r="F185" s="40">
        <v>937</v>
      </c>
      <c r="G185" s="40"/>
      <c r="H185" s="40"/>
      <c r="I185" s="40">
        <v>2000</v>
      </c>
      <c r="J185" s="40">
        <f t="shared" ref="J185:J196" si="56">D185-I185</f>
        <v>1750</v>
      </c>
      <c r="K185" s="40">
        <f t="shared" ref="K185:K196" si="57">E185-I185</f>
        <v>0</v>
      </c>
    </row>
    <row r="186" spans="1:11" hidden="1">
      <c r="A186" s="47" t="s">
        <v>131</v>
      </c>
      <c r="B186" s="98"/>
      <c r="C186" s="39" t="s">
        <v>136</v>
      </c>
      <c r="D186" s="40">
        <v>0</v>
      </c>
      <c r="E186" s="40">
        <v>0</v>
      </c>
      <c r="F186" s="40">
        <v>937</v>
      </c>
      <c r="G186" s="40"/>
      <c r="H186" s="40"/>
      <c r="I186" s="40">
        <v>0</v>
      </c>
      <c r="J186" s="40">
        <f>D186-I186</f>
        <v>0</v>
      </c>
      <c r="K186" s="40">
        <f>E186-I186</f>
        <v>0</v>
      </c>
    </row>
    <row r="187" spans="1:11" s="103" customFormat="1">
      <c r="A187" s="48" t="s">
        <v>161</v>
      </c>
      <c r="B187" s="102"/>
      <c r="C187" s="42"/>
      <c r="D187" s="43">
        <f>SUM(D183:D186)</f>
        <v>5750</v>
      </c>
      <c r="E187" s="43">
        <f t="shared" ref="E187:K187" si="58">SUM(E183:E186)</f>
        <v>4000</v>
      </c>
      <c r="F187" s="43">
        <f t="shared" si="58"/>
        <v>1874</v>
      </c>
      <c r="G187" s="43">
        <f t="shared" si="58"/>
        <v>0</v>
      </c>
      <c r="H187" s="43">
        <f t="shared" si="58"/>
        <v>0</v>
      </c>
      <c r="I187" s="43">
        <f t="shared" si="58"/>
        <v>2000</v>
      </c>
      <c r="J187" s="43">
        <f t="shared" si="58"/>
        <v>3750</v>
      </c>
      <c r="K187" s="43">
        <f t="shared" si="58"/>
        <v>2000</v>
      </c>
    </row>
    <row r="188" spans="1:11">
      <c r="A188" s="74" t="s">
        <v>113</v>
      </c>
      <c r="B188" s="98"/>
      <c r="C188" s="39" t="s">
        <v>233</v>
      </c>
      <c r="D188" s="40">
        <f>187692-3414</f>
        <v>184278</v>
      </c>
      <c r="E188" s="40">
        <f>92314</f>
        <v>92314</v>
      </c>
      <c r="F188" s="40"/>
      <c r="G188" s="40"/>
      <c r="H188" s="40"/>
      <c r="I188" s="40">
        <v>92314</v>
      </c>
      <c r="J188" s="40">
        <f t="shared" si="56"/>
        <v>91964</v>
      </c>
      <c r="K188" s="40">
        <f t="shared" si="57"/>
        <v>0</v>
      </c>
    </row>
    <row r="189" spans="1:11">
      <c r="A189" s="74" t="s">
        <v>114</v>
      </c>
      <c r="B189" s="98"/>
      <c r="C189" s="39" t="s">
        <v>234</v>
      </c>
      <c r="D189" s="40">
        <f>69958-1272</f>
        <v>68686</v>
      </c>
      <c r="E189" s="40">
        <f>34408</f>
        <v>34408</v>
      </c>
      <c r="F189" s="40"/>
      <c r="G189" s="40"/>
      <c r="H189" s="40"/>
      <c r="I189" s="40">
        <v>34408</v>
      </c>
      <c r="J189" s="40">
        <f t="shared" si="56"/>
        <v>34278</v>
      </c>
      <c r="K189" s="40">
        <f t="shared" si="57"/>
        <v>0</v>
      </c>
    </row>
    <row r="190" spans="1:11" s="103" customFormat="1">
      <c r="A190" s="127" t="s">
        <v>160</v>
      </c>
      <c r="B190" s="102"/>
      <c r="C190" s="42"/>
      <c r="D190" s="43">
        <f t="shared" ref="D190:K190" si="59">SUM(D188:D189)</f>
        <v>252964</v>
      </c>
      <c r="E190" s="43">
        <f t="shared" si="59"/>
        <v>126722</v>
      </c>
      <c r="F190" s="43">
        <f t="shared" si="59"/>
        <v>0</v>
      </c>
      <c r="G190" s="43">
        <f t="shared" si="59"/>
        <v>0</v>
      </c>
      <c r="H190" s="43">
        <f t="shared" si="59"/>
        <v>0</v>
      </c>
      <c r="I190" s="43">
        <f t="shared" si="59"/>
        <v>126722</v>
      </c>
      <c r="J190" s="43">
        <f t="shared" si="59"/>
        <v>126242</v>
      </c>
      <c r="K190" s="43">
        <f t="shared" si="59"/>
        <v>0</v>
      </c>
    </row>
    <row r="191" spans="1:11" s="103" customFormat="1">
      <c r="A191" s="127" t="s">
        <v>151</v>
      </c>
      <c r="B191" s="102"/>
      <c r="C191" s="42"/>
      <c r="D191" s="43">
        <f>D192+D193+D197+D198+D199</f>
        <v>672335</v>
      </c>
      <c r="E191" s="43">
        <f t="shared" ref="E191:K191" si="60">E192+E193+E197+E198+E199</f>
        <v>510173</v>
      </c>
      <c r="F191" s="43">
        <f t="shared" si="60"/>
        <v>0</v>
      </c>
      <c r="G191" s="43">
        <f t="shared" si="60"/>
        <v>0</v>
      </c>
      <c r="H191" s="43">
        <f t="shared" si="60"/>
        <v>0</v>
      </c>
      <c r="I191" s="43">
        <f t="shared" si="60"/>
        <v>502880</v>
      </c>
      <c r="J191" s="43">
        <f t="shared" si="60"/>
        <v>169455</v>
      </c>
      <c r="K191" s="43">
        <f t="shared" si="60"/>
        <v>7293</v>
      </c>
    </row>
    <row r="192" spans="1:11">
      <c r="A192" s="38" t="s">
        <v>17</v>
      </c>
      <c r="B192" s="98"/>
      <c r="C192" s="39" t="s">
        <v>235</v>
      </c>
      <c r="D192" s="40">
        <v>8148</v>
      </c>
      <c r="E192" s="40">
        <v>4074</v>
      </c>
      <c r="F192" s="40"/>
      <c r="G192" s="40"/>
      <c r="H192" s="40"/>
      <c r="I192" s="40">
        <v>4074</v>
      </c>
      <c r="J192" s="40">
        <f t="shared" si="56"/>
        <v>4074</v>
      </c>
      <c r="K192" s="40">
        <f t="shared" si="57"/>
        <v>0</v>
      </c>
    </row>
    <row r="193" spans="1:11">
      <c r="A193" s="38" t="s">
        <v>18</v>
      </c>
      <c r="B193" s="98"/>
      <c r="C193" s="39" t="s">
        <v>236</v>
      </c>
      <c r="D193" s="40">
        <v>4864</v>
      </c>
      <c r="E193" s="40">
        <v>4031</v>
      </c>
      <c r="F193" s="40"/>
      <c r="G193" s="40"/>
      <c r="H193" s="40"/>
      <c r="I193" s="40">
        <v>4031</v>
      </c>
      <c r="J193" s="40">
        <f>D193-I193</f>
        <v>833</v>
      </c>
      <c r="K193" s="40">
        <f>E193-I193</f>
        <v>0</v>
      </c>
    </row>
    <row r="194" spans="1:11">
      <c r="A194" s="38" t="s">
        <v>34</v>
      </c>
      <c r="B194" s="98"/>
      <c r="C194" s="39" t="s">
        <v>237</v>
      </c>
      <c r="D194" s="40">
        <v>518803</v>
      </c>
      <c r="E194" s="40">
        <f>259401+172934</f>
        <v>432335</v>
      </c>
      <c r="F194" s="40"/>
      <c r="G194" s="40"/>
      <c r="H194" s="40"/>
      <c r="I194" s="40">
        <v>432335</v>
      </c>
      <c r="J194" s="40">
        <f t="shared" si="56"/>
        <v>86468</v>
      </c>
      <c r="K194" s="40">
        <f t="shared" si="57"/>
        <v>0</v>
      </c>
    </row>
    <row r="195" spans="1:11">
      <c r="A195" s="38" t="s">
        <v>30</v>
      </c>
      <c r="B195" s="98"/>
      <c r="C195" s="39" t="s">
        <v>238</v>
      </c>
      <c r="D195" s="40">
        <f>44873-3738</f>
        <v>41135</v>
      </c>
      <c r="E195" s="40">
        <f>22436-3738</f>
        <v>18698</v>
      </c>
      <c r="F195" s="40"/>
      <c r="G195" s="40"/>
      <c r="H195" s="40"/>
      <c r="I195" s="40">
        <v>18698</v>
      </c>
      <c r="J195" s="40">
        <f t="shared" si="56"/>
        <v>22437</v>
      </c>
      <c r="K195" s="40">
        <f t="shared" si="57"/>
        <v>0</v>
      </c>
    </row>
    <row r="196" spans="1:11">
      <c r="A196" s="38" t="s">
        <v>31</v>
      </c>
      <c r="B196" s="98"/>
      <c r="C196" s="39" t="s">
        <v>239</v>
      </c>
      <c r="D196" s="40">
        <f>7765+3738</f>
        <v>11503</v>
      </c>
      <c r="E196" s="40">
        <f>3882+3738</f>
        <v>7620</v>
      </c>
      <c r="F196" s="40"/>
      <c r="G196" s="40"/>
      <c r="H196" s="40"/>
      <c r="I196" s="40">
        <v>7620</v>
      </c>
      <c r="J196" s="40">
        <f t="shared" si="56"/>
        <v>3883</v>
      </c>
      <c r="K196" s="40">
        <f t="shared" si="57"/>
        <v>0</v>
      </c>
    </row>
    <row r="197" spans="1:11" s="103" customFormat="1">
      <c r="A197" s="125" t="s">
        <v>19</v>
      </c>
      <c r="B197" s="102"/>
      <c r="C197" s="42"/>
      <c r="D197" s="43">
        <f t="shared" ref="D197:K197" si="61">SUM(D194:D196)</f>
        <v>571441</v>
      </c>
      <c r="E197" s="43">
        <f t="shared" si="61"/>
        <v>458653</v>
      </c>
      <c r="F197" s="43">
        <f t="shared" si="61"/>
        <v>0</v>
      </c>
      <c r="G197" s="43">
        <f t="shared" si="61"/>
        <v>0</v>
      </c>
      <c r="H197" s="43">
        <f t="shared" si="61"/>
        <v>0</v>
      </c>
      <c r="I197" s="43">
        <f t="shared" si="61"/>
        <v>458653</v>
      </c>
      <c r="J197" s="43">
        <f t="shared" si="61"/>
        <v>112788</v>
      </c>
      <c r="K197" s="43">
        <f t="shared" si="61"/>
        <v>0</v>
      </c>
    </row>
    <row r="198" spans="1:11">
      <c r="A198" s="38" t="s">
        <v>20</v>
      </c>
      <c r="B198" s="98"/>
      <c r="C198" s="39" t="s">
        <v>240</v>
      </c>
      <c r="D198" s="40">
        <v>45133</v>
      </c>
      <c r="E198" s="40">
        <v>22566</v>
      </c>
      <c r="F198" s="40"/>
      <c r="G198" s="40"/>
      <c r="H198" s="40"/>
      <c r="I198" s="40">
        <v>22566</v>
      </c>
      <c r="J198" s="40">
        <f>D198-I198</f>
        <v>22567</v>
      </c>
      <c r="K198" s="40">
        <f>E198-I198</f>
        <v>0</v>
      </c>
    </row>
    <row r="199" spans="1:11">
      <c r="A199" s="38" t="s">
        <v>21</v>
      </c>
      <c r="B199" s="98"/>
      <c r="C199" s="39" t="s">
        <v>241</v>
      </c>
      <c r="D199" s="40">
        <v>42749</v>
      </c>
      <c r="E199" s="40">
        <v>20849</v>
      </c>
      <c r="F199" s="40"/>
      <c r="G199" s="40"/>
      <c r="H199" s="40"/>
      <c r="I199" s="40">
        <v>13556</v>
      </c>
      <c r="J199" s="40">
        <f>D199-I199</f>
        <v>29193</v>
      </c>
      <c r="K199" s="40">
        <f>E199-I199</f>
        <v>7293</v>
      </c>
    </row>
    <row r="200" spans="1:11">
      <c r="A200" s="38" t="s">
        <v>22</v>
      </c>
      <c r="B200" s="98"/>
      <c r="C200" s="39" t="s">
        <v>242</v>
      </c>
      <c r="D200" s="40">
        <v>12420</v>
      </c>
      <c r="E200" s="40">
        <v>6210</v>
      </c>
      <c r="F200" s="40"/>
      <c r="G200" s="40"/>
      <c r="H200" s="40"/>
      <c r="I200" s="40">
        <v>6210</v>
      </c>
      <c r="J200" s="40">
        <f>D200-I200</f>
        <v>6210</v>
      </c>
      <c r="K200" s="40">
        <f>E200-I200</f>
        <v>0</v>
      </c>
    </row>
    <row r="201" spans="1:11" hidden="1">
      <c r="A201" s="83" t="s">
        <v>23</v>
      </c>
      <c r="B201" s="98"/>
      <c r="C201" s="39" t="s">
        <v>137</v>
      </c>
      <c r="D201" s="40"/>
      <c r="E201" s="40"/>
      <c r="F201" s="40"/>
      <c r="G201" s="40"/>
      <c r="H201" s="40"/>
      <c r="I201" s="40"/>
      <c r="J201" s="40">
        <f>D201-I201</f>
        <v>0</v>
      </c>
      <c r="K201" s="40">
        <f>E201-I201</f>
        <v>0</v>
      </c>
    </row>
    <row r="202" spans="1:11">
      <c r="A202" s="127" t="s">
        <v>169</v>
      </c>
      <c r="B202" s="98"/>
      <c r="C202" s="39" t="s">
        <v>243</v>
      </c>
      <c r="D202" s="40">
        <v>8994</v>
      </c>
      <c r="E202" s="40">
        <v>4402</v>
      </c>
      <c r="F202" s="40"/>
      <c r="G202" s="40"/>
      <c r="H202" s="40"/>
      <c r="I202" s="40">
        <v>4402</v>
      </c>
      <c r="J202" s="40">
        <f>D202-I202</f>
        <v>4592</v>
      </c>
      <c r="K202" s="40">
        <f>E202-I202</f>
        <v>0</v>
      </c>
    </row>
    <row r="203" spans="1:11">
      <c r="A203" s="127"/>
      <c r="B203" s="98"/>
      <c r="C203" s="39"/>
      <c r="D203" s="40"/>
      <c r="E203" s="40"/>
      <c r="F203" s="40"/>
      <c r="G203" s="40"/>
      <c r="H203" s="40"/>
      <c r="I203" s="40"/>
      <c r="J203" s="40"/>
      <c r="K203" s="40"/>
    </row>
    <row r="204" spans="1:11" s="110" customFormat="1">
      <c r="A204" s="153" t="s">
        <v>294</v>
      </c>
      <c r="B204" s="109"/>
      <c r="C204" s="54"/>
      <c r="D204" s="55">
        <f>D205+D208</f>
        <v>20204</v>
      </c>
      <c r="E204" s="55">
        <f t="shared" ref="E204:K204" si="62">E205+E208</f>
        <v>20204</v>
      </c>
      <c r="F204" s="55">
        <f t="shared" si="62"/>
        <v>0</v>
      </c>
      <c r="G204" s="55">
        <f t="shared" si="62"/>
        <v>0</v>
      </c>
      <c r="H204" s="55">
        <f t="shared" si="62"/>
        <v>0</v>
      </c>
      <c r="I204" s="55">
        <f t="shared" si="62"/>
        <v>20204</v>
      </c>
      <c r="J204" s="55">
        <f t="shared" si="62"/>
        <v>0</v>
      </c>
      <c r="K204" s="55">
        <f t="shared" si="62"/>
        <v>0</v>
      </c>
    </row>
    <row r="205" spans="1:11">
      <c r="A205" s="38" t="s">
        <v>27</v>
      </c>
      <c r="B205" s="102"/>
      <c r="C205" s="39" t="s">
        <v>290</v>
      </c>
      <c r="D205" s="40">
        <v>15518</v>
      </c>
      <c r="E205" s="40">
        <v>15518</v>
      </c>
      <c r="F205" s="40"/>
      <c r="G205" s="40"/>
      <c r="H205" s="40"/>
      <c r="I205" s="40">
        <v>15518</v>
      </c>
      <c r="J205" s="40">
        <f>D205-I205</f>
        <v>0</v>
      </c>
      <c r="K205" s="40">
        <f>E205-I205</f>
        <v>0</v>
      </c>
    </row>
    <row r="206" spans="1:11">
      <c r="A206" s="74" t="s">
        <v>113</v>
      </c>
      <c r="B206" s="98"/>
      <c r="C206" s="39" t="s">
        <v>291</v>
      </c>
      <c r="D206" s="40">
        <v>3414</v>
      </c>
      <c r="E206" s="40">
        <v>3414</v>
      </c>
      <c r="F206" s="40"/>
      <c r="G206" s="40"/>
      <c r="H206" s="40"/>
      <c r="I206" s="40">
        <v>3414</v>
      </c>
      <c r="J206" s="40">
        <f>D206-I206</f>
        <v>0</v>
      </c>
      <c r="K206" s="40">
        <f>E206-I206</f>
        <v>0</v>
      </c>
    </row>
    <row r="207" spans="1:11">
      <c r="A207" s="74" t="s">
        <v>114</v>
      </c>
      <c r="B207" s="98"/>
      <c r="C207" s="39" t="s">
        <v>292</v>
      </c>
      <c r="D207" s="40">
        <v>1272</v>
      </c>
      <c r="E207" s="40">
        <v>1272</v>
      </c>
      <c r="F207" s="40"/>
      <c r="G207" s="40"/>
      <c r="H207" s="40"/>
      <c r="I207" s="40">
        <v>1272</v>
      </c>
      <c r="J207" s="40">
        <f>D207-I207</f>
        <v>0</v>
      </c>
      <c r="K207" s="40">
        <f>E207-I207</f>
        <v>0</v>
      </c>
    </row>
    <row r="208" spans="1:11" s="110" customFormat="1">
      <c r="A208" s="127" t="s">
        <v>160</v>
      </c>
      <c r="B208" s="102"/>
      <c r="C208" s="42"/>
      <c r="D208" s="55">
        <f>SUM(D206:D207)</f>
        <v>4686</v>
      </c>
      <c r="E208" s="55">
        <f t="shared" ref="E208:K208" si="63">SUM(E206:E207)</f>
        <v>4686</v>
      </c>
      <c r="F208" s="55">
        <f t="shared" si="63"/>
        <v>0</v>
      </c>
      <c r="G208" s="55">
        <f t="shared" si="63"/>
        <v>0</v>
      </c>
      <c r="H208" s="55">
        <f t="shared" si="63"/>
        <v>0</v>
      </c>
      <c r="I208" s="55">
        <f t="shared" si="63"/>
        <v>4686</v>
      </c>
      <c r="J208" s="55">
        <f t="shared" si="63"/>
        <v>0</v>
      </c>
      <c r="K208" s="55">
        <f t="shared" si="63"/>
        <v>0</v>
      </c>
    </row>
    <row r="209" spans="1:11" hidden="1">
      <c r="A209" s="74" t="s">
        <v>114</v>
      </c>
      <c r="B209" s="98"/>
      <c r="C209" s="39" t="s">
        <v>289</v>
      </c>
      <c r="D209" s="40">
        <v>1272</v>
      </c>
      <c r="E209" s="40">
        <v>1272</v>
      </c>
      <c r="F209" s="40"/>
      <c r="G209" s="40"/>
      <c r="H209" s="40"/>
      <c r="I209" s="40"/>
      <c r="J209" s="40">
        <f>D209-I209</f>
        <v>1272</v>
      </c>
      <c r="K209" s="40">
        <f>E209-I209</f>
        <v>1272</v>
      </c>
    </row>
    <row r="210" spans="1:11" s="103" customFormat="1" hidden="1">
      <c r="A210" s="127" t="s">
        <v>160</v>
      </c>
      <c r="B210" s="102"/>
      <c r="C210" s="42"/>
      <c r="D210" s="43">
        <f t="shared" ref="D210:K210" si="64">SUM(D208:D209)</f>
        <v>5958</v>
      </c>
      <c r="E210" s="43">
        <f t="shared" si="64"/>
        <v>5958</v>
      </c>
      <c r="F210" s="43">
        <f t="shared" si="64"/>
        <v>0</v>
      </c>
      <c r="G210" s="43">
        <f t="shared" si="64"/>
        <v>0</v>
      </c>
      <c r="H210" s="43">
        <f t="shared" si="64"/>
        <v>0</v>
      </c>
      <c r="I210" s="43">
        <f t="shared" si="64"/>
        <v>4686</v>
      </c>
      <c r="J210" s="43">
        <f t="shared" si="64"/>
        <v>1272</v>
      </c>
      <c r="K210" s="43">
        <f t="shared" si="64"/>
        <v>1272</v>
      </c>
    </row>
    <row r="211" spans="1:11" s="104" customFormat="1">
      <c r="A211" s="44"/>
      <c r="B211" s="52"/>
      <c r="C211" s="45"/>
      <c r="D211" s="46"/>
      <c r="E211" s="46"/>
      <c r="F211" s="46"/>
      <c r="G211" s="46"/>
      <c r="H211" s="46"/>
      <c r="I211" s="46"/>
      <c r="J211" s="46"/>
      <c r="K211" s="46"/>
    </row>
    <row r="212" spans="1:11" s="104" customFormat="1" ht="84.75" customHeight="1">
      <c r="A212" s="142" t="s">
        <v>171</v>
      </c>
      <c r="B212" s="52"/>
      <c r="C212" s="45"/>
      <c r="D212" s="46">
        <f>D213+D221+D227+D229+D231</f>
        <v>458130</v>
      </c>
      <c r="E212" s="46">
        <f t="shared" ref="E212:K212" si="65">E213+E221+E227+E229+E231</f>
        <v>240020</v>
      </c>
      <c r="F212" s="46" t="e">
        <f t="shared" si="65"/>
        <v>#REF!</v>
      </c>
      <c r="G212" s="46" t="e">
        <f t="shared" si="65"/>
        <v>#REF!</v>
      </c>
      <c r="H212" s="46" t="e">
        <f t="shared" si="65"/>
        <v>#REF!</v>
      </c>
      <c r="I212" s="46">
        <f t="shared" si="65"/>
        <v>240020</v>
      </c>
      <c r="J212" s="46">
        <f t="shared" si="65"/>
        <v>218110</v>
      </c>
      <c r="K212" s="46">
        <f t="shared" si="65"/>
        <v>0</v>
      </c>
    </row>
    <row r="213" spans="1:11">
      <c r="A213" s="125" t="s">
        <v>159</v>
      </c>
      <c r="B213" s="98"/>
      <c r="C213" s="39"/>
      <c r="D213" s="40">
        <f>D214+D217+D220</f>
        <v>415555</v>
      </c>
      <c r="E213" s="40">
        <f t="shared" ref="E213:K213" si="66">E214+E217+E220</f>
        <v>210102</v>
      </c>
      <c r="F213" s="40" t="e">
        <f t="shared" si="66"/>
        <v>#REF!</v>
      </c>
      <c r="G213" s="40" t="e">
        <f t="shared" si="66"/>
        <v>#REF!</v>
      </c>
      <c r="H213" s="40" t="e">
        <f t="shared" si="66"/>
        <v>#REF!</v>
      </c>
      <c r="I213" s="40">
        <f t="shared" si="66"/>
        <v>210102</v>
      </c>
      <c r="J213" s="40">
        <f t="shared" si="66"/>
        <v>205453</v>
      </c>
      <c r="K213" s="40">
        <f t="shared" si="66"/>
        <v>0</v>
      </c>
    </row>
    <row r="214" spans="1:11">
      <c r="A214" s="38" t="s">
        <v>27</v>
      </c>
      <c r="B214" s="102"/>
      <c r="C214" s="39" t="s">
        <v>244</v>
      </c>
      <c r="D214" s="40">
        <f>325212-7759</f>
        <v>317453</v>
      </c>
      <c r="E214" s="40">
        <v>160598</v>
      </c>
      <c r="F214" s="40" t="e">
        <f>#REF!+#REF!+#REF!+#REF!+#REF!+#REF!+#REF!</f>
        <v>#REF!</v>
      </c>
      <c r="G214" s="40" t="e">
        <f>#REF!+#REF!+#REF!+#REF!+#REF!+#REF!+#REF!</f>
        <v>#REF!</v>
      </c>
      <c r="H214" s="40" t="e">
        <f>#REF!+#REF!+#REF!+#REF!+#REF!+#REF!+#REF!</f>
        <v>#REF!</v>
      </c>
      <c r="I214" s="40">
        <v>160598</v>
      </c>
      <c r="J214" s="40">
        <f>D214-I214</f>
        <v>156855</v>
      </c>
      <c r="K214" s="40">
        <f>E214-I214</f>
        <v>0</v>
      </c>
    </row>
    <row r="215" spans="1:11" ht="22.5">
      <c r="A215" s="47" t="s">
        <v>28</v>
      </c>
      <c r="B215" s="98"/>
      <c r="C215" s="39" t="s">
        <v>245</v>
      </c>
      <c r="D215" s="40">
        <v>0</v>
      </c>
      <c r="E215" s="40">
        <v>0</v>
      </c>
      <c r="F215" s="40" t="e">
        <f>#REF!</f>
        <v>#REF!</v>
      </c>
      <c r="G215" s="40" t="e">
        <f>#REF!</f>
        <v>#REF!</v>
      </c>
      <c r="H215" s="40" t="e">
        <f>#REF!</f>
        <v>#REF!</v>
      </c>
      <c r="I215" s="40"/>
      <c r="J215" s="40">
        <f>D215-I215</f>
        <v>0</v>
      </c>
      <c r="K215" s="40">
        <f>E215-I215</f>
        <v>0</v>
      </c>
    </row>
    <row r="216" spans="1:11" ht="22.5">
      <c r="A216" s="47" t="s">
        <v>29</v>
      </c>
      <c r="B216" s="98"/>
      <c r="C216" s="39" t="s">
        <v>246</v>
      </c>
      <c r="D216" s="40">
        <v>2000</v>
      </c>
      <c r="E216" s="40">
        <v>1000</v>
      </c>
      <c r="F216" s="40" t="e">
        <f>#REF!</f>
        <v>#REF!</v>
      </c>
      <c r="G216" s="40" t="e">
        <f>#REF!</f>
        <v>#REF!</v>
      </c>
      <c r="H216" s="40" t="e">
        <f>#REF!</f>
        <v>#REF!</v>
      </c>
      <c r="I216" s="40">
        <v>1000</v>
      </c>
      <c r="J216" s="40">
        <f>D216-I216</f>
        <v>1000</v>
      </c>
      <c r="K216" s="40">
        <f>E216-I216</f>
        <v>0</v>
      </c>
    </row>
    <row r="217" spans="1:11" s="111" customFormat="1">
      <c r="A217" s="48" t="s">
        <v>161</v>
      </c>
      <c r="B217" s="102"/>
      <c r="C217" s="42"/>
      <c r="D217" s="55">
        <f>SUM(D215:D216)</f>
        <v>2000</v>
      </c>
      <c r="E217" s="55">
        <f t="shared" ref="E217:K217" si="67">SUM(E215:E216)</f>
        <v>1000</v>
      </c>
      <c r="F217" s="55" t="e">
        <f t="shared" si="67"/>
        <v>#REF!</v>
      </c>
      <c r="G217" s="55" t="e">
        <f t="shared" si="67"/>
        <v>#REF!</v>
      </c>
      <c r="H217" s="55" t="e">
        <f t="shared" si="67"/>
        <v>#REF!</v>
      </c>
      <c r="I217" s="55">
        <f t="shared" si="67"/>
        <v>1000</v>
      </c>
      <c r="J217" s="55">
        <f t="shared" si="67"/>
        <v>1000</v>
      </c>
      <c r="K217" s="55">
        <f t="shared" si="67"/>
        <v>0</v>
      </c>
    </row>
    <row r="218" spans="1:11">
      <c r="A218" s="74" t="s">
        <v>113</v>
      </c>
      <c r="B218" s="98"/>
      <c r="C218" s="39" t="s">
        <v>247</v>
      </c>
      <c r="D218" s="40">
        <f>71547-1629</f>
        <v>69918</v>
      </c>
      <c r="E218" s="40">
        <v>35334</v>
      </c>
      <c r="F218" s="40" t="e">
        <f>#REF!+#REF!+#REF!+#REF!+#REF!+#REF!</f>
        <v>#REF!</v>
      </c>
      <c r="G218" s="40" t="e">
        <f>#REF!+#REF!+#REF!+#REF!+#REF!+#REF!</f>
        <v>#REF!</v>
      </c>
      <c r="H218" s="40" t="e">
        <f>#REF!+#REF!+#REF!+#REF!+#REF!+#REF!</f>
        <v>#REF!</v>
      </c>
      <c r="I218" s="40">
        <v>35334</v>
      </c>
      <c r="J218" s="40">
        <f>D218-I218</f>
        <v>34584</v>
      </c>
      <c r="K218" s="40">
        <f>E218-I218</f>
        <v>0</v>
      </c>
    </row>
    <row r="219" spans="1:11">
      <c r="A219" s="74" t="s">
        <v>114</v>
      </c>
      <c r="B219" s="98"/>
      <c r="C219" s="39" t="s">
        <v>248</v>
      </c>
      <c r="D219" s="40">
        <f>26667-483</f>
        <v>26184</v>
      </c>
      <c r="E219" s="40">
        <v>13170</v>
      </c>
      <c r="F219" s="40" t="e">
        <f>#REF!+#REF!+#REF!+#REF!+#REF!+#REF!</f>
        <v>#REF!</v>
      </c>
      <c r="G219" s="40" t="e">
        <f>#REF!+#REF!+#REF!+#REF!+#REF!+#REF!</f>
        <v>#REF!</v>
      </c>
      <c r="H219" s="40" t="e">
        <f>#REF!+#REF!+#REF!+#REF!+#REF!+#REF!</f>
        <v>#REF!</v>
      </c>
      <c r="I219" s="40">
        <v>13170</v>
      </c>
      <c r="J219" s="40">
        <f>D219-I219</f>
        <v>13014</v>
      </c>
      <c r="K219" s="40">
        <f>E219-I219</f>
        <v>0</v>
      </c>
    </row>
    <row r="220" spans="1:11" s="110" customFormat="1">
      <c r="A220" s="127" t="s">
        <v>160</v>
      </c>
      <c r="B220" s="102"/>
      <c r="C220" s="42"/>
      <c r="D220" s="55">
        <f>SUM(D218:D219)</f>
        <v>96102</v>
      </c>
      <c r="E220" s="55">
        <f t="shared" ref="E220:K220" si="68">SUM(E218:E219)</f>
        <v>48504</v>
      </c>
      <c r="F220" s="55" t="e">
        <f t="shared" si="68"/>
        <v>#REF!</v>
      </c>
      <c r="G220" s="55" t="e">
        <f t="shared" si="68"/>
        <v>#REF!</v>
      </c>
      <c r="H220" s="55" t="e">
        <f t="shared" si="68"/>
        <v>#REF!</v>
      </c>
      <c r="I220" s="55">
        <f t="shared" si="68"/>
        <v>48504</v>
      </c>
      <c r="J220" s="55">
        <f t="shared" si="68"/>
        <v>47598</v>
      </c>
      <c r="K220" s="55">
        <f t="shared" si="68"/>
        <v>0</v>
      </c>
    </row>
    <row r="221" spans="1:11" s="110" customFormat="1">
      <c r="A221" s="127" t="s">
        <v>151</v>
      </c>
      <c r="B221" s="102"/>
      <c r="C221" s="42"/>
      <c r="D221" s="55">
        <f t="shared" ref="D221:K221" si="69">D222+D223+D226+D225</f>
        <v>18118</v>
      </c>
      <c r="E221" s="55">
        <f t="shared" si="69"/>
        <v>14130</v>
      </c>
      <c r="F221" s="55" t="e">
        <f t="shared" si="69"/>
        <v>#REF!</v>
      </c>
      <c r="G221" s="55" t="e">
        <f t="shared" si="69"/>
        <v>#REF!</v>
      </c>
      <c r="H221" s="55" t="e">
        <f t="shared" si="69"/>
        <v>#REF!</v>
      </c>
      <c r="I221" s="55">
        <f t="shared" si="69"/>
        <v>14130</v>
      </c>
      <c r="J221" s="55">
        <f t="shared" si="69"/>
        <v>3988</v>
      </c>
      <c r="K221" s="55">
        <f t="shared" si="69"/>
        <v>0</v>
      </c>
    </row>
    <row r="222" spans="1:11">
      <c r="A222" s="38" t="s">
        <v>17</v>
      </c>
      <c r="B222" s="98"/>
      <c r="C222" s="39" t="s">
        <v>249</v>
      </c>
      <c r="D222" s="40">
        <v>500</v>
      </c>
      <c r="E222" s="40">
        <v>250</v>
      </c>
      <c r="F222" s="40" t="e">
        <f>#REF!</f>
        <v>#REF!</v>
      </c>
      <c r="G222" s="40" t="e">
        <f>#REF!</f>
        <v>#REF!</v>
      </c>
      <c r="H222" s="40" t="e">
        <f>#REF!</f>
        <v>#REF!</v>
      </c>
      <c r="I222" s="40">
        <v>250</v>
      </c>
      <c r="J222" s="40">
        <f t="shared" ref="J222:J229" si="70">D222-I222</f>
        <v>250</v>
      </c>
      <c r="K222" s="40">
        <f t="shared" ref="K222:K229" si="71">E222-I222</f>
        <v>0</v>
      </c>
    </row>
    <row r="223" spans="1:11">
      <c r="A223" s="38" t="s">
        <v>18</v>
      </c>
      <c r="B223" s="98"/>
      <c r="C223" s="39" t="s">
        <v>250</v>
      </c>
      <c r="D223" s="40">
        <v>1664</v>
      </c>
      <c r="E223" s="40">
        <v>1664</v>
      </c>
      <c r="F223" s="40" t="e">
        <f>#REF!</f>
        <v>#REF!</v>
      </c>
      <c r="G223" s="40" t="e">
        <f>#REF!</f>
        <v>#REF!</v>
      </c>
      <c r="H223" s="40" t="e">
        <f>#REF!</f>
        <v>#REF!</v>
      </c>
      <c r="I223" s="40">
        <v>1664</v>
      </c>
      <c r="J223" s="40">
        <f t="shared" si="70"/>
        <v>0</v>
      </c>
      <c r="K223" s="40">
        <f t="shared" si="71"/>
        <v>0</v>
      </c>
    </row>
    <row r="224" spans="1:11" hidden="1">
      <c r="A224" s="38" t="s">
        <v>20</v>
      </c>
      <c r="B224" s="98"/>
      <c r="C224" s="39" t="s">
        <v>138</v>
      </c>
      <c r="D224" s="40">
        <v>0</v>
      </c>
      <c r="E224" s="40">
        <v>0</v>
      </c>
      <c r="F224" s="40" t="e">
        <f>#REF!+#REF!+#REF!</f>
        <v>#REF!</v>
      </c>
      <c r="G224" s="40" t="e">
        <f>#REF!+#REF!+#REF!</f>
        <v>#REF!</v>
      </c>
      <c r="H224" s="40" t="e">
        <f>#REF!+#REF!+#REF!</f>
        <v>#REF!</v>
      </c>
      <c r="I224" s="40">
        <v>0</v>
      </c>
      <c r="J224" s="40">
        <f t="shared" si="70"/>
        <v>0</v>
      </c>
      <c r="K224" s="40">
        <f t="shared" si="71"/>
        <v>0</v>
      </c>
    </row>
    <row r="225" spans="1:11">
      <c r="A225" s="38" t="s">
        <v>20</v>
      </c>
      <c r="B225" s="98"/>
      <c r="C225" s="39" t="s">
        <v>293</v>
      </c>
      <c r="D225" s="40">
        <v>1000</v>
      </c>
      <c r="E225" s="40">
        <v>1000</v>
      </c>
      <c r="F225" s="40" t="e">
        <f>#REF!</f>
        <v>#REF!</v>
      </c>
      <c r="G225" s="40" t="e">
        <f>#REF!</f>
        <v>#REF!</v>
      </c>
      <c r="H225" s="40" t="e">
        <f>#REF!</f>
        <v>#REF!</v>
      </c>
      <c r="I225" s="40">
        <v>1000</v>
      </c>
      <c r="J225" s="40">
        <f>D225-I225</f>
        <v>0</v>
      </c>
      <c r="K225" s="40">
        <f>E225-I225</f>
        <v>0</v>
      </c>
    </row>
    <row r="226" spans="1:11">
      <c r="A226" s="38" t="s">
        <v>21</v>
      </c>
      <c r="B226" s="98"/>
      <c r="C226" s="39" t="s">
        <v>251</v>
      </c>
      <c r="D226" s="40">
        <v>14954</v>
      </c>
      <c r="E226" s="40">
        <v>11216</v>
      </c>
      <c r="F226" s="40" t="e">
        <f>#REF!</f>
        <v>#REF!</v>
      </c>
      <c r="G226" s="40" t="e">
        <f>#REF!</f>
        <v>#REF!</v>
      </c>
      <c r="H226" s="40" t="e">
        <f>#REF!</f>
        <v>#REF!</v>
      </c>
      <c r="I226" s="40">
        <v>11216</v>
      </c>
      <c r="J226" s="40">
        <f t="shared" si="70"/>
        <v>3738</v>
      </c>
      <c r="K226" s="40">
        <f t="shared" si="71"/>
        <v>0</v>
      </c>
    </row>
    <row r="227" spans="1:11">
      <c r="A227" s="38" t="s">
        <v>22</v>
      </c>
      <c r="B227" s="98"/>
      <c r="C227" s="39" t="s">
        <v>252</v>
      </c>
      <c r="D227" s="40">
        <v>3500</v>
      </c>
      <c r="E227" s="40">
        <v>875</v>
      </c>
      <c r="F227" s="40" t="e">
        <f>#REF!</f>
        <v>#REF!</v>
      </c>
      <c r="G227" s="40" t="e">
        <f>#REF!</f>
        <v>#REF!</v>
      </c>
      <c r="H227" s="40" t="e">
        <f>#REF!</f>
        <v>#REF!</v>
      </c>
      <c r="I227" s="40">
        <v>875</v>
      </c>
      <c r="J227" s="40">
        <f t="shared" si="70"/>
        <v>2625</v>
      </c>
      <c r="K227" s="40">
        <f t="shared" si="71"/>
        <v>0</v>
      </c>
    </row>
    <row r="228" spans="1:11" hidden="1">
      <c r="A228" s="83" t="s">
        <v>23</v>
      </c>
      <c r="B228" s="98"/>
      <c r="C228" s="39" t="s">
        <v>139</v>
      </c>
      <c r="D228" s="40"/>
      <c r="E228" s="40"/>
      <c r="F228" s="40"/>
      <c r="G228" s="40"/>
      <c r="H228" s="40"/>
      <c r="I228" s="40"/>
      <c r="J228" s="40">
        <f t="shared" si="70"/>
        <v>0</v>
      </c>
      <c r="K228" s="40">
        <f t="shared" si="71"/>
        <v>0</v>
      </c>
    </row>
    <row r="229" spans="1:11">
      <c r="A229" s="49" t="s">
        <v>115</v>
      </c>
      <c r="B229" s="98"/>
      <c r="C229" s="39" t="s">
        <v>253</v>
      </c>
      <c r="D229" s="40">
        <v>11086</v>
      </c>
      <c r="E229" s="40">
        <v>5042</v>
      </c>
      <c r="F229" s="40" t="e">
        <f>#REF!</f>
        <v>#REF!</v>
      </c>
      <c r="G229" s="40" t="e">
        <f>#REF!</f>
        <v>#REF!</v>
      </c>
      <c r="H229" s="40" t="e">
        <f>#REF!</f>
        <v>#REF!</v>
      </c>
      <c r="I229" s="40">
        <v>5042</v>
      </c>
      <c r="J229" s="40">
        <f t="shared" si="70"/>
        <v>6044</v>
      </c>
      <c r="K229" s="40">
        <f t="shared" si="71"/>
        <v>0</v>
      </c>
    </row>
    <row r="230" spans="1:11">
      <c r="A230" s="49"/>
      <c r="B230" s="98"/>
      <c r="C230" s="39"/>
      <c r="D230" s="40"/>
      <c r="E230" s="40"/>
      <c r="F230" s="40"/>
      <c r="G230" s="40"/>
      <c r="H230" s="40"/>
      <c r="I230" s="40"/>
      <c r="J230" s="40"/>
      <c r="K230" s="40"/>
    </row>
    <row r="231" spans="1:11" s="110" customFormat="1">
      <c r="A231" s="153" t="s">
        <v>294</v>
      </c>
      <c r="B231" s="109"/>
      <c r="C231" s="54"/>
      <c r="D231" s="55">
        <f>D232+D235</f>
        <v>9871</v>
      </c>
      <c r="E231" s="55">
        <f t="shared" ref="E231:K231" si="72">E232+E235</f>
        <v>9871</v>
      </c>
      <c r="F231" s="55">
        <f t="shared" si="72"/>
        <v>0</v>
      </c>
      <c r="G231" s="55">
        <f t="shared" si="72"/>
        <v>0</v>
      </c>
      <c r="H231" s="55">
        <f t="shared" si="72"/>
        <v>0</v>
      </c>
      <c r="I231" s="55">
        <f t="shared" si="72"/>
        <v>9871</v>
      </c>
      <c r="J231" s="55">
        <f t="shared" si="72"/>
        <v>0</v>
      </c>
      <c r="K231" s="55">
        <f t="shared" si="72"/>
        <v>0</v>
      </c>
    </row>
    <row r="232" spans="1:11">
      <c r="A232" s="38" t="s">
        <v>27</v>
      </c>
      <c r="B232" s="102"/>
      <c r="C232" s="39" t="s">
        <v>290</v>
      </c>
      <c r="D232" s="40">
        <v>7759</v>
      </c>
      <c r="E232" s="40">
        <v>7759</v>
      </c>
      <c r="F232" s="40"/>
      <c r="G232" s="40"/>
      <c r="H232" s="40"/>
      <c r="I232" s="40">
        <v>7759</v>
      </c>
      <c r="J232" s="40">
        <f>D232-I232</f>
        <v>0</v>
      </c>
      <c r="K232" s="40">
        <f>E232-I232</f>
        <v>0</v>
      </c>
    </row>
    <row r="233" spans="1:11">
      <c r="A233" s="74" t="s">
        <v>113</v>
      </c>
      <c r="B233" s="98"/>
      <c r="C233" s="39" t="s">
        <v>291</v>
      </c>
      <c r="D233" s="40">
        <v>1629</v>
      </c>
      <c r="E233" s="40">
        <v>1629</v>
      </c>
      <c r="F233" s="40"/>
      <c r="G233" s="40"/>
      <c r="H233" s="40"/>
      <c r="I233" s="40">
        <v>1629</v>
      </c>
      <c r="J233" s="40">
        <f>D233-I233</f>
        <v>0</v>
      </c>
      <c r="K233" s="40">
        <f>E233-I233</f>
        <v>0</v>
      </c>
    </row>
    <row r="234" spans="1:11">
      <c r="A234" s="74" t="s">
        <v>114</v>
      </c>
      <c r="B234" s="98"/>
      <c r="C234" s="39" t="s">
        <v>292</v>
      </c>
      <c r="D234" s="40">
        <v>483</v>
      </c>
      <c r="E234" s="40">
        <v>483</v>
      </c>
      <c r="F234" s="40"/>
      <c r="G234" s="40"/>
      <c r="H234" s="40"/>
      <c r="I234" s="40">
        <v>483</v>
      </c>
      <c r="J234" s="40">
        <f>D234-I234</f>
        <v>0</v>
      </c>
      <c r="K234" s="40">
        <f>E234-I234</f>
        <v>0</v>
      </c>
    </row>
    <row r="235" spans="1:11" s="110" customFormat="1">
      <c r="A235" s="127" t="s">
        <v>160</v>
      </c>
      <c r="B235" s="102"/>
      <c r="C235" s="42"/>
      <c r="D235" s="55">
        <f>SUM(D233:D234)</f>
        <v>2112</v>
      </c>
      <c r="E235" s="55">
        <f t="shared" ref="E235:K235" si="73">SUM(E233:E234)</f>
        <v>2112</v>
      </c>
      <c r="F235" s="55">
        <f t="shared" si="73"/>
        <v>0</v>
      </c>
      <c r="G235" s="55">
        <f t="shared" si="73"/>
        <v>0</v>
      </c>
      <c r="H235" s="55">
        <f t="shared" si="73"/>
        <v>0</v>
      </c>
      <c r="I235" s="55">
        <f t="shared" si="73"/>
        <v>2112</v>
      </c>
      <c r="J235" s="55">
        <f t="shared" si="73"/>
        <v>0</v>
      </c>
      <c r="K235" s="55">
        <f t="shared" si="73"/>
        <v>0</v>
      </c>
    </row>
    <row r="236" spans="1:11" s="104" customFormat="1">
      <c r="A236" s="53"/>
      <c r="B236" s="52"/>
      <c r="C236" s="45"/>
      <c r="D236" s="46"/>
      <c r="E236" s="46"/>
      <c r="F236" s="46"/>
      <c r="G236" s="46"/>
      <c r="H236" s="46"/>
      <c r="I236" s="46"/>
      <c r="J236" s="46"/>
      <c r="K236" s="46"/>
    </row>
    <row r="237" spans="1:11" ht="12.75">
      <c r="A237" s="143" t="s">
        <v>181</v>
      </c>
      <c r="B237" s="114"/>
      <c r="C237" s="144" t="s">
        <v>184</v>
      </c>
      <c r="D237" s="145">
        <f>D238</f>
        <v>547570</v>
      </c>
      <c r="E237" s="145">
        <f t="shared" ref="E237:K237" si="74">E238</f>
        <v>464570</v>
      </c>
      <c r="F237" s="145" t="e">
        <f t="shared" si="74"/>
        <v>#REF!</v>
      </c>
      <c r="G237" s="145" t="e">
        <f t="shared" si="74"/>
        <v>#REF!</v>
      </c>
      <c r="H237" s="145" t="e">
        <f t="shared" si="74"/>
        <v>#REF!</v>
      </c>
      <c r="I237" s="145">
        <f t="shared" si="74"/>
        <v>423070</v>
      </c>
      <c r="J237" s="145">
        <f t="shared" si="74"/>
        <v>124500</v>
      </c>
      <c r="K237" s="145">
        <f t="shared" si="74"/>
        <v>41500</v>
      </c>
    </row>
    <row r="238" spans="1:11" s="113" customFormat="1" ht="18.75" customHeight="1">
      <c r="A238" s="136" t="s">
        <v>182</v>
      </c>
      <c r="B238" s="112"/>
      <c r="C238" s="137" t="s">
        <v>183</v>
      </c>
      <c r="D238" s="57">
        <f t="shared" ref="D238:I238" si="75">D239+D240+D241+D243+D244+D245+D246+D247</f>
        <v>547570</v>
      </c>
      <c r="E238" s="57">
        <f t="shared" si="75"/>
        <v>464570</v>
      </c>
      <c r="F238" s="57" t="e">
        <f t="shared" si="75"/>
        <v>#REF!</v>
      </c>
      <c r="G238" s="57" t="e">
        <f t="shared" si="75"/>
        <v>#REF!</v>
      </c>
      <c r="H238" s="57" t="e">
        <f t="shared" si="75"/>
        <v>#REF!</v>
      </c>
      <c r="I238" s="57">
        <f t="shared" si="75"/>
        <v>423070</v>
      </c>
      <c r="J238" s="85">
        <f>D238-I238</f>
        <v>124500</v>
      </c>
      <c r="K238" s="85">
        <f>E238-I238</f>
        <v>41500</v>
      </c>
    </row>
    <row r="239" spans="1:11" s="113" customFormat="1" ht="18.75" customHeight="1">
      <c r="A239" s="125" t="s">
        <v>159</v>
      </c>
      <c r="B239" s="114"/>
      <c r="C239" s="39" t="s">
        <v>254</v>
      </c>
      <c r="D239" s="85">
        <f>127496-31874</f>
        <v>95622</v>
      </c>
      <c r="E239" s="85">
        <v>31874</v>
      </c>
      <c r="F239" s="85"/>
      <c r="G239" s="85"/>
      <c r="H239" s="85"/>
      <c r="I239" s="85">
        <v>31874</v>
      </c>
      <c r="J239" s="85">
        <f t="shared" ref="J239:J247" si="76">D239-I239</f>
        <v>63748</v>
      </c>
      <c r="K239" s="85">
        <f t="shared" ref="K239:K247" si="77">E239-I239</f>
        <v>0</v>
      </c>
    </row>
    <row r="240" spans="1:11" s="113" customFormat="1" ht="18.75" customHeight="1">
      <c r="A240" s="74" t="s">
        <v>113</v>
      </c>
      <c r="B240" s="114"/>
      <c r="C240" s="39" t="s">
        <v>255</v>
      </c>
      <c r="D240" s="85">
        <f>28048-7012</f>
        <v>21036</v>
      </c>
      <c r="E240" s="85">
        <v>7012</v>
      </c>
      <c r="F240" s="85"/>
      <c r="G240" s="85"/>
      <c r="H240" s="85"/>
      <c r="I240" s="85">
        <v>7012</v>
      </c>
      <c r="J240" s="85">
        <f t="shared" si="76"/>
        <v>14024</v>
      </c>
      <c r="K240" s="85">
        <f t="shared" si="77"/>
        <v>0</v>
      </c>
    </row>
    <row r="241" spans="1:11" s="113" customFormat="1" ht="18.75" customHeight="1">
      <c r="A241" s="134" t="s">
        <v>114</v>
      </c>
      <c r="B241" s="114"/>
      <c r="C241" s="39" t="s">
        <v>256</v>
      </c>
      <c r="D241" s="85">
        <f>10456-2614</f>
        <v>7842</v>
      </c>
      <c r="E241" s="85">
        <v>2614</v>
      </c>
      <c r="F241" s="85"/>
      <c r="G241" s="85"/>
      <c r="H241" s="85"/>
      <c r="I241" s="85">
        <v>2614</v>
      </c>
      <c r="J241" s="85">
        <f t="shared" si="76"/>
        <v>5228</v>
      </c>
      <c r="K241" s="85">
        <f t="shared" si="77"/>
        <v>0</v>
      </c>
    </row>
    <row r="242" spans="1:11" s="113" customFormat="1" ht="18.75" customHeight="1">
      <c r="A242" s="129" t="s">
        <v>280</v>
      </c>
      <c r="B242" s="112"/>
      <c r="C242" s="54"/>
      <c r="D242" s="57">
        <f>SUM(D240:D241)</f>
        <v>28878</v>
      </c>
      <c r="E242" s="57">
        <f t="shared" ref="E242:K242" si="78">SUM(E240:E241)</f>
        <v>9626</v>
      </c>
      <c r="F242" s="57">
        <f t="shared" si="78"/>
        <v>0</v>
      </c>
      <c r="G242" s="57">
        <f t="shared" si="78"/>
        <v>0</v>
      </c>
      <c r="H242" s="57">
        <f t="shared" si="78"/>
        <v>0</v>
      </c>
      <c r="I242" s="57">
        <f t="shared" si="78"/>
        <v>9626</v>
      </c>
      <c r="J242" s="57">
        <f t="shared" si="78"/>
        <v>19252</v>
      </c>
      <c r="K242" s="57">
        <f t="shared" si="78"/>
        <v>0</v>
      </c>
    </row>
    <row r="243" spans="1:11" ht="15.75" customHeight="1">
      <c r="A243" s="75" t="s">
        <v>22</v>
      </c>
      <c r="B243" s="98"/>
      <c r="C243" s="39" t="s">
        <v>295</v>
      </c>
      <c r="D243" s="40">
        <v>41500</v>
      </c>
      <c r="E243" s="40">
        <v>41500</v>
      </c>
      <c r="F243" s="40"/>
      <c r="G243" s="40"/>
      <c r="H243" s="40"/>
      <c r="I243" s="40"/>
      <c r="J243" s="40">
        <f>D243-I243</f>
        <v>41500</v>
      </c>
      <c r="K243" s="40">
        <f>E243-I243</f>
        <v>41500</v>
      </c>
    </row>
    <row r="244" spans="1:11" s="113" customFormat="1" ht="18.75" customHeight="1">
      <c r="A244" s="75" t="s">
        <v>22</v>
      </c>
      <c r="B244" s="112"/>
      <c r="C244" s="39" t="s">
        <v>285</v>
      </c>
      <c r="D244" s="85">
        <v>25000</v>
      </c>
      <c r="E244" s="85">
        <v>25000</v>
      </c>
      <c r="F244" s="57"/>
      <c r="G244" s="57"/>
      <c r="H244" s="57"/>
      <c r="I244" s="40">
        <v>25000</v>
      </c>
      <c r="J244" s="40">
        <f>D244-I244</f>
        <v>0</v>
      </c>
      <c r="K244" s="40">
        <f>E244-I244</f>
        <v>0</v>
      </c>
    </row>
    <row r="245" spans="1:11" ht="15.75" customHeight="1">
      <c r="A245" s="38" t="s">
        <v>21</v>
      </c>
      <c r="B245" s="98"/>
      <c r="C245" s="39" t="s">
        <v>286</v>
      </c>
      <c r="D245" s="40">
        <v>10000</v>
      </c>
      <c r="E245" s="40">
        <v>10000</v>
      </c>
      <c r="F245" s="40" t="e">
        <f>F214</f>
        <v>#REF!</v>
      </c>
      <c r="G245" s="40" t="e">
        <f>G214</f>
        <v>#REF!</v>
      </c>
      <c r="H245" s="40" t="e">
        <f>H214</f>
        <v>#REF!</v>
      </c>
      <c r="I245" s="40">
        <v>10000</v>
      </c>
      <c r="J245" s="40">
        <f t="shared" si="76"/>
        <v>0</v>
      </c>
      <c r="K245" s="40">
        <f t="shared" si="77"/>
        <v>0</v>
      </c>
    </row>
    <row r="246" spans="1:11" ht="15.75" customHeight="1">
      <c r="A246" s="75" t="s">
        <v>22</v>
      </c>
      <c r="B246" s="98"/>
      <c r="C246" s="39" t="s">
        <v>287</v>
      </c>
      <c r="D246" s="40">
        <v>40000</v>
      </c>
      <c r="E246" s="40">
        <v>40000</v>
      </c>
      <c r="F246" s="40">
        <v>40000</v>
      </c>
      <c r="G246" s="40">
        <v>40000</v>
      </c>
      <c r="H246" s="40">
        <v>40000</v>
      </c>
      <c r="I246" s="40">
        <v>40000</v>
      </c>
      <c r="J246" s="40">
        <f>D246-I246</f>
        <v>0</v>
      </c>
      <c r="K246" s="40">
        <f>E246-I246</f>
        <v>0</v>
      </c>
    </row>
    <row r="247" spans="1:11" s="113" customFormat="1" ht="18.75" customHeight="1">
      <c r="A247" s="38" t="s">
        <v>23</v>
      </c>
      <c r="B247" s="112"/>
      <c r="C247" s="39" t="s">
        <v>288</v>
      </c>
      <c r="D247" s="85">
        <v>306570</v>
      </c>
      <c r="E247" s="85">
        <v>306570</v>
      </c>
      <c r="F247" s="57"/>
      <c r="G247" s="57"/>
      <c r="H247" s="57"/>
      <c r="I247" s="40">
        <v>306570</v>
      </c>
      <c r="J247" s="40">
        <f t="shared" si="76"/>
        <v>0</v>
      </c>
      <c r="K247" s="40">
        <f t="shared" si="77"/>
        <v>0</v>
      </c>
    </row>
    <row r="248" spans="1:11" s="113" customFormat="1" ht="18.75" customHeight="1">
      <c r="A248" s="76"/>
      <c r="B248" s="112"/>
      <c r="C248" s="56"/>
      <c r="D248" s="57"/>
      <c r="E248" s="57"/>
      <c r="F248" s="57"/>
      <c r="G248" s="57"/>
      <c r="H248" s="57"/>
      <c r="I248" s="57"/>
      <c r="J248" s="57"/>
      <c r="K248" s="57"/>
    </row>
    <row r="249" spans="1:11" s="116" customFormat="1" ht="18.75" customHeight="1">
      <c r="A249" s="60" t="s">
        <v>73</v>
      </c>
      <c r="B249" s="115"/>
      <c r="C249" s="58"/>
      <c r="D249" s="59"/>
      <c r="E249" s="59"/>
      <c r="F249" s="59"/>
      <c r="G249" s="59"/>
      <c r="H249" s="59"/>
      <c r="I249" s="59"/>
      <c r="J249" s="59"/>
      <c r="K249" s="59"/>
    </row>
    <row r="250" spans="1:11">
      <c r="A250" s="61" t="s">
        <v>16</v>
      </c>
      <c r="B250" s="98"/>
      <c r="C250" s="62" t="s">
        <v>74</v>
      </c>
      <c r="D250" s="40">
        <f t="shared" ref="D250:K250" si="79">D17+D46+D105</f>
        <v>1296980</v>
      </c>
      <c r="E250" s="40">
        <f t="shared" si="79"/>
        <v>712495.82000000007</v>
      </c>
      <c r="F250" s="40">
        <f t="shared" si="79"/>
        <v>0</v>
      </c>
      <c r="G250" s="40">
        <f t="shared" si="79"/>
        <v>0</v>
      </c>
      <c r="H250" s="40">
        <f t="shared" si="79"/>
        <v>0</v>
      </c>
      <c r="I250" s="40">
        <f t="shared" si="79"/>
        <v>622647.02999999991</v>
      </c>
      <c r="J250" s="40">
        <f t="shared" si="79"/>
        <v>674332.97000000009</v>
      </c>
      <c r="K250" s="40">
        <f t="shared" si="79"/>
        <v>89848.790000000023</v>
      </c>
    </row>
    <row r="251" spans="1:11">
      <c r="A251" s="61" t="s">
        <v>27</v>
      </c>
      <c r="B251" s="98"/>
      <c r="C251" s="62" t="s">
        <v>75</v>
      </c>
      <c r="D251" s="40">
        <f>D47+D161</f>
        <v>1410768</v>
      </c>
      <c r="E251" s="40">
        <f t="shared" ref="E251:K251" si="80">E47+E161</f>
        <v>683085</v>
      </c>
      <c r="F251" s="40">
        <f t="shared" si="80"/>
        <v>0</v>
      </c>
      <c r="G251" s="40">
        <f t="shared" si="80"/>
        <v>0</v>
      </c>
      <c r="H251" s="40">
        <f t="shared" si="80"/>
        <v>0</v>
      </c>
      <c r="I251" s="40">
        <f t="shared" si="80"/>
        <v>625534.25</v>
      </c>
      <c r="J251" s="40">
        <f t="shared" si="80"/>
        <v>785233.75</v>
      </c>
      <c r="K251" s="40">
        <f t="shared" si="80"/>
        <v>57550.75</v>
      </c>
    </row>
    <row r="252" spans="1:11" s="103" customFormat="1">
      <c r="A252" s="63" t="s">
        <v>91</v>
      </c>
      <c r="B252" s="102"/>
      <c r="C252" s="42"/>
      <c r="D252" s="43">
        <f>SUM(D250:D251)</f>
        <v>2707748</v>
      </c>
      <c r="E252" s="43">
        <f t="shared" ref="E252:K252" si="81">SUM(E250:E251)</f>
        <v>1395580.82</v>
      </c>
      <c r="F252" s="43">
        <f t="shared" si="81"/>
        <v>0</v>
      </c>
      <c r="G252" s="43">
        <f t="shared" si="81"/>
        <v>0</v>
      </c>
      <c r="H252" s="43">
        <f t="shared" si="81"/>
        <v>0</v>
      </c>
      <c r="I252" s="43">
        <f t="shared" si="81"/>
        <v>1248181.2799999998</v>
      </c>
      <c r="J252" s="43">
        <f t="shared" si="81"/>
        <v>1459566.7200000002</v>
      </c>
      <c r="K252" s="43">
        <f t="shared" si="81"/>
        <v>147399.54000000004</v>
      </c>
    </row>
    <row r="253" spans="1:11" ht="22.5">
      <c r="A253" s="64" t="s">
        <v>28</v>
      </c>
      <c r="B253" s="98"/>
      <c r="C253" s="62" t="s">
        <v>76</v>
      </c>
      <c r="D253" s="40">
        <f>D49+D162</f>
        <v>30108</v>
      </c>
      <c r="E253" s="40">
        <f t="shared" ref="E253:K253" si="82">E49+E162</f>
        <v>25446</v>
      </c>
      <c r="F253" s="40">
        <f t="shared" si="82"/>
        <v>0</v>
      </c>
      <c r="G253" s="40">
        <f t="shared" si="82"/>
        <v>0</v>
      </c>
      <c r="H253" s="40">
        <f t="shared" si="82"/>
        <v>0</v>
      </c>
      <c r="I253" s="40">
        <f t="shared" si="82"/>
        <v>0</v>
      </c>
      <c r="J253" s="40">
        <f t="shared" si="82"/>
        <v>30108</v>
      </c>
      <c r="K253" s="40">
        <f t="shared" si="82"/>
        <v>25446</v>
      </c>
    </row>
    <row r="254" spans="1:11" ht="22.5">
      <c r="A254" s="64" t="s">
        <v>29</v>
      </c>
      <c r="B254" s="98"/>
      <c r="C254" s="62" t="s">
        <v>77</v>
      </c>
      <c r="D254" s="40">
        <f>D163+D107+D50</f>
        <v>39500</v>
      </c>
      <c r="E254" s="40">
        <f t="shared" ref="E254:K254" si="83">E163+E107+E50</f>
        <v>19750</v>
      </c>
      <c r="F254" s="40">
        <f t="shared" si="83"/>
        <v>0</v>
      </c>
      <c r="G254" s="40">
        <f t="shared" si="83"/>
        <v>0</v>
      </c>
      <c r="H254" s="40">
        <f t="shared" si="83"/>
        <v>0</v>
      </c>
      <c r="I254" s="40">
        <f t="shared" si="83"/>
        <v>9250</v>
      </c>
      <c r="J254" s="40">
        <f t="shared" si="83"/>
        <v>30250</v>
      </c>
      <c r="K254" s="40">
        <f t="shared" si="83"/>
        <v>10500</v>
      </c>
    </row>
    <row r="255" spans="1:11" s="103" customFormat="1">
      <c r="A255" s="63" t="s">
        <v>92</v>
      </c>
      <c r="B255" s="102"/>
      <c r="C255" s="42"/>
      <c r="D255" s="43">
        <f t="shared" ref="D255:K255" si="84">SUM(D253:D254)</f>
        <v>69608</v>
      </c>
      <c r="E255" s="43">
        <f t="shared" si="84"/>
        <v>45196</v>
      </c>
      <c r="F255" s="43">
        <f t="shared" si="84"/>
        <v>0</v>
      </c>
      <c r="G255" s="43">
        <f t="shared" si="84"/>
        <v>0</v>
      </c>
      <c r="H255" s="43">
        <f t="shared" si="84"/>
        <v>0</v>
      </c>
      <c r="I255" s="43">
        <f t="shared" si="84"/>
        <v>9250</v>
      </c>
      <c r="J255" s="43">
        <f t="shared" si="84"/>
        <v>60358</v>
      </c>
      <c r="K255" s="43">
        <f t="shared" si="84"/>
        <v>35946</v>
      </c>
    </row>
    <row r="256" spans="1:11">
      <c r="A256" s="74" t="s">
        <v>113</v>
      </c>
      <c r="B256" s="98"/>
      <c r="C256" s="62" t="s">
        <v>78</v>
      </c>
      <c r="D256" s="40">
        <f t="shared" ref="D256:K257" si="85">D19+D52+D109+D165</f>
        <v>595702</v>
      </c>
      <c r="E256" s="40">
        <f t="shared" si="85"/>
        <v>295485</v>
      </c>
      <c r="F256" s="40">
        <f t="shared" si="85"/>
        <v>0</v>
      </c>
      <c r="G256" s="40">
        <f t="shared" si="85"/>
        <v>0</v>
      </c>
      <c r="H256" s="40">
        <f t="shared" si="85"/>
        <v>0</v>
      </c>
      <c r="I256" s="40">
        <f t="shared" si="85"/>
        <v>248852</v>
      </c>
      <c r="J256" s="40">
        <f t="shared" si="85"/>
        <v>346850</v>
      </c>
      <c r="K256" s="40">
        <f t="shared" si="85"/>
        <v>46633</v>
      </c>
    </row>
    <row r="257" spans="1:11">
      <c r="A257" s="74" t="s">
        <v>114</v>
      </c>
      <c r="B257" s="98"/>
      <c r="C257" s="62" t="s">
        <v>79</v>
      </c>
      <c r="D257" s="40">
        <f t="shared" si="85"/>
        <v>222038</v>
      </c>
      <c r="E257" s="40">
        <f t="shared" si="85"/>
        <v>109223</v>
      </c>
      <c r="F257" s="40">
        <f t="shared" si="85"/>
        <v>0</v>
      </c>
      <c r="G257" s="40">
        <f t="shared" si="85"/>
        <v>0</v>
      </c>
      <c r="H257" s="40">
        <f t="shared" si="85"/>
        <v>0</v>
      </c>
      <c r="I257" s="40">
        <f t="shared" si="85"/>
        <v>93966.760000000009</v>
      </c>
      <c r="J257" s="40">
        <f t="shared" si="85"/>
        <v>128071.23999999999</v>
      </c>
      <c r="K257" s="40">
        <f t="shared" si="85"/>
        <v>15256.240000000002</v>
      </c>
    </row>
    <row r="258" spans="1:11" s="103" customFormat="1">
      <c r="A258" s="63" t="s">
        <v>95</v>
      </c>
      <c r="B258" s="102"/>
      <c r="C258" s="42"/>
      <c r="D258" s="43">
        <f t="shared" ref="D258:K258" si="86">SUM(D256:D257)</f>
        <v>817740</v>
      </c>
      <c r="E258" s="43">
        <f t="shared" si="86"/>
        <v>404708</v>
      </c>
      <c r="F258" s="43">
        <f t="shared" si="86"/>
        <v>0</v>
      </c>
      <c r="G258" s="43">
        <f t="shared" si="86"/>
        <v>0</v>
      </c>
      <c r="H258" s="43">
        <f t="shared" si="86"/>
        <v>0</v>
      </c>
      <c r="I258" s="43">
        <f t="shared" si="86"/>
        <v>342818.76</v>
      </c>
      <c r="J258" s="43">
        <f>SUM(J256:J257)</f>
        <v>474921.24</v>
      </c>
      <c r="K258" s="43">
        <f t="shared" si="86"/>
        <v>61889.240000000005</v>
      </c>
    </row>
    <row r="259" spans="1:11" s="103" customFormat="1">
      <c r="A259" s="63"/>
      <c r="B259" s="102"/>
      <c r="C259" s="42"/>
      <c r="D259" s="43">
        <f>D260+D261+D265+D267+D268</f>
        <v>2255635.37</v>
      </c>
      <c r="E259" s="43">
        <f t="shared" ref="E259:K259" si="87">E260+E261+E265+E267+E268</f>
        <v>1698602.31</v>
      </c>
      <c r="F259" s="43">
        <f t="shared" si="87"/>
        <v>293549</v>
      </c>
      <c r="G259" s="43">
        <f t="shared" si="87"/>
        <v>0</v>
      </c>
      <c r="H259" s="43">
        <f t="shared" si="87"/>
        <v>0</v>
      </c>
      <c r="I259" s="43">
        <f t="shared" si="87"/>
        <v>1171396.53</v>
      </c>
      <c r="J259" s="43">
        <f t="shared" si="87"/>
        <v>1084238.8399999999</v>
      </c>
      <c r="K259" s="43">
        <f t="shared" si="87"/>
        <v>527205.78</v>
      </c>
    </row>
    <row r="260" spans="1:11">
      <c r="A260" s="61" t="s">
        <v>17</v>
      </c>
      <c r="B260" s="98"/>
      <c r="C260" s="62" t="s">
        <v>275</v>
      </c>
      <c r="D260" s="40">
        <f>D60+D173</f>
        <v>43856</v>
      </c>
      <c r="E260" s="40">
        <f t="shared" ref="E260:K260" si="88">E60+E173</f>
        <v>27246</v>
      </c>
      <c r="F260" s="40">
        <f t="shared" si="88"/>
        <v>0</v>
      </c>
      <c r="G260" s="40">
        <f t="shared" si="88"/>
        <v>0</v>
      </c>
      <c r="H260" s="40">
        <f t="shared" si="88"/>
        <v>0</v>
      </c>
      <c r="I260" s="40">
        <f t="shared" si="88"/>
        <v>16264.569999999998</v>
      </c>
      <c r="J260" s="40">
        <f t="shared" si="88"/>
        <v>27591.43</v>
      </c>
      <c r="K260" s="40">
        <f t="shared" si="88"/>
        <v>10981.430000000002</v>
      </c>
    </row>
    <row r="261" spans="1:11">
      <c r="A261" s="61" t="s">
        <v>18</v>
      </c>
      <c r="B261" s="98"/>
      <c r="C261" s="62" t="s">
        <v>80</v>
      </c>
      <c r="D261" s="40">
        <f>D56+D61+D115+D169</f>
        <v>74714</v>
      </c>
      <c r="E261" s="40">
        <f t="shared" ref="E261:K261" si="89">E56+E61+E115+E169</f>
        <v>23970</v>
      </c>
      <c r="F261" s="40">
        <f t="shared" si="89"/>
        <v>0</v>
      </c>
      <c r="G261" s="40">
        <f t="shared" si="89"/>
        <v>0</v>
      </c>
      <c r="H261" s="40">
        <f t="shared" si="89"/>
        <v>0</v>
      </c>
      <c r="I261" s="40">
        <f t="shared" si="89"/>
        <v>10916.1</v>
      </c>
      <c r="J261" s="40">
        <f t="shared" si="89"/>
        <v>63797.9</v>
      </c>
      <c r="K261" s="40">
        <f t="shared" si="89"/>
        <v>13053.9</v>
      </c>
    </row>
    <row r="262" spans="1:11">
      <c r="A262" s="61" t="s">
        <v>34</v>
      </c>
      <c r="B262" s="98"/>
      <c r="C262" s="62" t="s">
        <v>81</v>
      </c>
      <c r="D262" s="40">
        <f>D62</f>
        <v>960077</v>
      </c>
      <c r="E262" s="40">
        <f t="shared" ref="E262:K262" si="90">E62</f>
        <v>845954.8</v>
      </c>
      <c r="F262" s="40">
        <f t="shared" si="90"/>
        <v>0</v>
      </c>
      <c r="G262" s="40">
        <f t="shared" si="90"/>
        <v>0</v>
      </c>
      <c r="H262" s="40">
        <f t="shared" si="90"/>
        <v>0</v>
      </c>
      <c r="I262" s="40">
        <f t="shared" si="90"/>
        <v>845954.8</v>
      </c>
      <c r="J262" s="40">
        <f t="shared" si="90"/>
        <v>114122.19999999995</v>
      </c>
      <c r="K262" s="40">
        <f t="shared" si="90"/>
        <v>0</v>
      </c>
    </row>
    <row r="263" spans="1:11">
      <c r="A263" s="61" t="s">
        <v>30</v>
      </c>
      <c r="B263" s="98"/>
      <c r="C263" s="62" t="s">
        <v>82</v>
      </c>
      <c r="D263" s="40">
        <f>D63+D153</f>
        <v>294611.37</v>
      </c>
      <c r="E263" s="40">
        <f t="shared" ref="E263:K263" si="91">E63+E153</f>
        <v>269700.51</v>
      </c>
      <c r="F263" s="40">
        <f t="shared" si="91"/>
        <v>0</v>
      </c>
      <c r="G263" s="40">
        <f t="shared" si="91"/>
        <v>0</v>
      </c>
      <c r="H263" s="40">
        <f t="shared" si="91"/>
        <v>0</v>
      </c>
      <c r="I263" s="40">
        <f t="shared" si="91"/>
        <v>231877.06</v>
      </c>
      <c r="J263" s="40">
        <f t="shared" si="91"/>
        <v>62734.31</v>
      </c>
      <c r="K263" s="40">
        <f t="shared" si="91"/>
        <v>37823.450000000012</v>
      </c>
    </row>
    <row r="264" spans="1:11">
      <c r="A264" s="61" t="s">
        <v>31</v>
      </c>
      <c r="B264" s="98"/>
      <c r="C264" s="62" t="s">
        <v>83</v>
      </c>
      <c r="D264" s="40">
        <f t="shared" ref="D264:K264" si="92">D64</f>
        <v>15313</v>
      </c>
      <c r="E264" s="40">
        <f t="shared" si="92"/>
        <v>11735</v>
      </c>
      <c r="F264" s="40">
        <f t="shared" si="92"/>
        <v>3294</v>
      </c>
      <c r="G264" s="40">
        <f t="shared" si="92"/>
        <v>0</v>
      </c>
      <c r="H264" s="40">
        <f t="shared" si="92"/>
        <v>0</v>
      </c>
      <c r="I264" s="40">
        <f t="shared" si="92"/>
        <v>6062.47</v>
      </c>
      <c r="J264" s="40">
        <f t="shared" si="92"/>
        <v>9250.5299999999988</v>
      </c>
      <c r="K264" s="40">
        <f t="shared" si="92"/>
        <v>5672.53</v>
      </c>
    </row>
    <row r="265" spans="1:11" s="103" customFormat="1">
      <c r="A265" s="63" t="s">
        <v>93</v>
      </c>
      <c r="B265" s="102"/>
      <c r="C265" s="42"/>
      <c r="D265" s="43">
        <f t="shared" ref="D265:K265" si="93">SUM(D262:D264)</f>
        <v>1270001.3700000001</v>
      </c>
      <c r="E265" s="43">
        <f t="shared" si="93"/>
        <v>1127390.31</v>
      </c>
      <c r="F265" s="43">
        <f t="shared" si="93"/>
        <v>3294</v>
      </c>
      <c r="G265" s="43">
        <f>SUM(G262:G264)</f>
        <v>0</v>
      </c>
      <c r="H265" s="43">
        <f>SUM(H262:H264)</f>
        <v>0</v>
      </c>
      <c r="I265" s="43">
        <f>SUM(I262:I264)</f>
        <v>1083894.33</v>
      </c>
      <c r="J265" s="43">
        <f t="shared" si="93"/>
        <v>186107.03999999995</v>
      </c>
      <c r="K265" s="43">
        <f t="shared" si="93"/>
        <v>43495.98000000001</v>
      </c>
    </row>
    <row r="266" spans="1:11" s="118" customFormat="1" hidden="1">
      <c r="A266" s="61" t="s">
        <v>21</v>
      </c>
      <c r="B266" s="117"/>
      <c r="C266" s="62" t="s">
        <v>117</v>
      </c>
      <c r="D266" s="40"/>
      <c r="E266" s="40"/>
      <c r="F266" s="40"/>
      <c r="G266" s="40"/>
      <c r="H266" s="40"/>
      <c r="I266" s="40"/>
      <c r="J266" s="40"/>
      <c r="K266" s="40"/>
    </row>
    <row r="267" spans="1:11">
      <c r="A267" s="61" t="s">
        <v>20</v>
      </c>
      <c r="B267" s="98"/>
      <c r="C267" s="62" t="s">
        <v>84</v>
      </c>
      <c r="D267" s="40">
        <f>D66+D117+D139+D174+D142+D140</f>
        <v>364155</v>
      </c>
      <c r="E267" s="40">
        <f t="shared" ref="E267:K267" si="94">E66+E117+E139+E174+E142+E140</f>
        <v>208877</v>
      </c>
      <c r="F267" s="40">
        <f t="shared" si="94"/>
        <v>166530</v>
      </c>
      <c r="G267" s="40">
        <f t="shared" si="94"/>
        <v>0</v>
      </c>
      <c r="H267" s="40">
        <f t="shared" si="94"/>
        <v>0</v>
      </c>
      <c r="I267" s="40">
        <f t="shared" si="94"/>
        <v>15000</v>
      </c>
      <c r="J267" s="40">
        <f t="shared" si="94"/>
        <v>349155</v>
      </c>
      <c r="K267" s="40">
        <f t="shared" si="94"/>
        <v>193877</v>
      </c>
    </row>
    <row r="268" spans="1:11">
      <c r="A268" s="61" t="s">
        <v>21</v>
      </c>
      <c r="B268" s="98"/>
      <c r="C268" s="62" t="s">
        <v>274</v>
      </c>
      <c r="D268" s="40">
        <f>D57+D67+D81+D113+D119+D128+D129+D141+D154+D156+D170+D175+D143+D82+D77+D78</f>
        <v>502909</v>
      </c>
      <c r="E268" s="40">
        <f t="shared" ref="E268:K268" si="95">E57+E67+E81+E113+E119+E128+E129+E141+E154+E156+E170+E175+E143+E82+E77+E78</f>
        <v>311119</v>
      </c>
      <c r="F268" s="40">
        <f t="shared" si="95"/>
        <v>123725</v>
      </c>
      <c r="G268" s="40">
        <f t="shared" si="95"/>
        <v>0</v>
      </c>
      <c r="H268" s="40">
        <f t="shared" si="95"/>
        <v>0</v>
      </c>
      <c r="I268" s="40">
        <f t="shared" si="95"/>
        <v>45321.53</v>
      </c>
      <c r="J268" s="40">
        <f t="shared" si="95"/>
        <v>457587.47</v>
      </c>
      <c r="K268" s="40">
        <f t="shared" si="95"/>
        <v>265797.46999999997</v>
      </c>
    </row>
    <row r="269" spans="1:11" ht="24">
      <c r="A269" s="38" t="s">
        <v>24</v>
      </c>
      <c r="B269" s="98"/>
      <c r="C269" s="62" t="s">
        <v>89</v>
      </c>
      <c r="D269" s="40">
        <f>D84+D145+D149</f>
        <v>16180914.27</v>
      </c>
      <c r="E269" s="40">
        <f t="shared" ref="E269:K269" si="96">E84+E145+E149</f>
        <v>16173978.27</v>
      </c>
      <c r="F269" s="40">
        <f t="shared" si="96"/>
        <v>0</v>
      </c>
      <c r="G269" s="40">
        <f t="shared" si="96"/>
        <v>0</v>
      </c>
      <c r="H269" s="40">
        <f t="shared" si="96"/>
        <v>0</v>
      </c>
      <c r="I269" s="40">
        <f t="shared" si="96"/>
        <v>3080546.67</v>
      </c>
      <c r="J269" s="40">
        <f t="shared" si="96"/>
        <v>13100367.6</v>
      </c>
      <c r="K269" s="40">
        <f t="shared" si="96"/>
        <v>13093431.6</v>
      </c>
    </row>
    <row r="270" spans="1:11">
      <c r="A270" s="61" t="s">
        <v>22</v>
      </c>
      <c r="B270" s="98"/>
      <c r="C270" s="62" t="s">
        <v>85</v>
      </c>
      <c r="D270" s="40">
        <f>D68+D74+D96</f>
        <v>34532</v>
      </c>
      <c r="E270" s="40">
        <f t="shared" ref="E270:K270" si="97">E68+E74+E96</f>
        <v>11707</v>
      </c>
      <c r="F270" s="40">
        <f t="shared" si="97"/>
        <v>0</v>
      </c>
      <c r="G270" s="40">
        <f t="shared" si="97"/>
        <v>0</v>
      </c>
      <c r="H270" s="40">
        <f t="shared" si="97"/>
        <v>0</v>
      </c>
      <c r="I270" s="40">
        <f t="shared" si="97"/>
        <v>1774.83</v>
      </c>
      <c r="J270" s="40">
        <f t="shared" si="97"/>
        <v>32757.17</v>
      </c>
      <c r="K270" s="40">
        <f t="shared" si="97"/>
        <v>9932.17</v>
      </c>
    </row>
    <row r="271" spans="1:11" hidden="1">
      <c r="A271" s="61" t="s">
        <v>23</v>
      </c>
      <c r="B271" s="98"/>
      <c r="C271" s="62" t="s">
        <v>86</v>
      </c>
      <c r="D271" s="40"/>
      <c r="E271" s="40"/>
      <c r="F271" s="40"/>
      <c r="G271" s="40"/>
      <c r="H271" s="40"/>
      <c r="I271" s="40"/>
      <c r="J271" s="40"/>
      <c r="K271" s="40"/>
    </row>
    <row r="272" spans="1:11">
      <c r="A272" s="61" t="s">
        <v>33</v>
      </c>
      <c r="B272" s="98"/>
      <c r="C272" s="62" t="s">
        <v>87</v>
      </c>
      <c r="D272" s="40">
        <f>D71</f>
        <v>130604</v>
      </c>
      <c r="E272" s="40">
        <f t="shared" ref="E272:K272" si="98">E71</f>
        <v>94403</v>
      </c>
      <c r="F272" s="40">
        <f t="shared" si="98"/>
        <v>0</v>
      </c>
      <c r="G272" s="40">
        <f t="shared" si="98"/>
        <v>0</v>
      </c>
      <c r="H272" s="40">
        <f t="shared" si="98"/>
        <v>0</v>
      </c>
      <c r="I272" s="40">
        <f t="shared" si="98"/>
        <v>93009.02</v>
      </c>
      <c r="J272" s="40">
        <f t="shared" si="98"/>
        <v>37594.979999999996</v>
      </c>
      <c r="K272" s="40">
        <f t="shared" si="98"/>
        <v>1393.9799999999959</v>
      </c>
    </row>
    <row r="273" spans="1:11">
      <c r="A273" s="65" t="s">
        <v>32</v>
      </c>
      <c r="B273" s="98"/>
      <c r="C273" s="62" t="s">
        <v>88</v>
      </c>
      <c r="D273" s="40">
        <f>D72+D100+D121+D177</f>
        <v>38931</v>
      </c>
      <c r="E273" s="40">
        <f t="shared" ref="E273:K273" si="99">E72+E100+E121+E177</f>
        <v>19465</v>
      </c>
      <c r="F273" s="40">
        <f t="shared" si="99"/>
        <v>0</v>
      </c>
      <c r="G273" s="40">
        <f t="shared" si="99"/>
        <v>0</v>
      </c>
      <c r="H273" s="40">
        <f t="shared" si="99"/>
        <v>0</v>
      </c>
      <c r="I273" s="40">
        <f t="shared" si="99"/>
        <v>560</v>
      </c>
      <c r="J273" s="40">
        <f t="shared" si="99"/>
        <v>38371</v>
      </c>
      <c r="K273" s="40">
        <f t="shared" si="99"/>
        <v>18905</v>
      </c>
    </row>
    <row r="274" spans="1:11" s="103" customFormat="1">
      <c r="A274" s="63" t="s">
        <v>94</v>
      </c>
      <c r="B274" s="102"/>
      <c r="C274" s="42"/>
      <c r="D274" s="43">
        <f>SUM(D272:D273)</f>
        <v>169535</v>
      </c>
      <c r="E274" s="43">
        <f t="shared" ref="E274:K274" si="100">SUM(E272:E273)</f>
        <v>113868</v>
      </c>
      <c r="F274" s="43">
        <f t="shared" si="100"/>
        <v>0</v>
      </c>
      <c r="G274" s="43">
        <f t="shared" si="100"/>
        <v>0</v>
      </c>
      <c r="H274" s="43">
        <f t="shared" si="100"/>
        <v>0</v>
      </c>
      <c r="I274" s="43">
        <f t="shared" si="100"/>
        <v>93569.02</v>
      </c>
      <c r="J274" s="43">
        <f t="shared" si="100"/>
        <v>75965.98</v>
      </c>
      <c r="K274" s="43">
        <f t="shared" si="100"/>
        <v>20298.979999999996</v>
      </c>
    </row>
    <row r="275" spans="1:11" s="103" customFormat="1">
      <c r="A275" s="63"/>
      <c r="B275" s="102"/>
      <c r="C275" s="42" t="s">
        <v>116</v>
      </c>
      <c r="D275" s="43">
        <f>D238+D179</f>
        <v>2815994</v>
      </c>
      <c r="E275" s="43">
        <f t="shared" ref="E275:K275" si="101">E238+E179</f>
        <v>1795915</v>
      </c>
      <c r="F275" s="43" t="e">
        <f t="shared" si="101"/>
        <v>#REF!</v>
      </c>
      <c r="G275" s="43" t="e">
        <f t="shared" si="101"/>
        <v>#REF!</v>
      </c>
      <c r="H275" s="43" t="e">
        <f t="shared" si="101"/>
        <v>#REF!</v>
      </c>
      <c r="I275" s="43">
        <f t="shared" si="101"/>
        <v>1745122</v>
      </c>
      <c r="J275" s="43">
        <f t="shared" si="101"/>
        <v>1070872</v>
      </c>
      <c r="K275" s="43">
        <f t="shared" si="101"/>
        <v>50793</v>
      </c>
    </row>
    <row r="276" spans="1:11" s="119" customFormat="1" ht="24" customHeight="1">
      <c r="A276" s="50" t="s">
        <v>25</v>
      </c>
      <c r="B276" s="106"/>
      <c r="C276" s="51"/>
      <c r="D276" s="66">
        <f>D252+D255+D258+D259+D269+D270+D274+D275</f>
        <v>25051706.640000001</v>
      </c>
      <c r="E276" s="66">
        <f t="shared" ref="E276:K276" si="102">E252+E255+E258+E259+E269+E270+E274+E275</f>
        <v>21639555.399999999</v>
      </c>
      <c r="F276" s="66" t="e">
        <f t="shared" si="102"/>
        <v>#REF!</v>
      </c>
      <c r="G276" s="66" t="e">
        <f t="shared" si="102"/>
        <v>#REF!</v>
      </c>
      <c r="H276" s="66" t="e">
        <f t="shared" si="102"/>
        <v>#REF!</v>
      </c>
      <c r="I276" s="66">
        <f>I252+I255+I258+I259+I269+I270+I274+I275</f>
        <v>7692659.0899999999</v>
      </c>
      <c r="J276" s="66">
        <f t="shared" si="102"/>
        <v>17359047.549999997</v>
      </c>
      <c r="K276" s="66">
        <f t="shared" si="102"/>
        <v>13946896.310000001</v>
      </c>
    </row>
    <row r="277" spans="1:11">
      <c r="D277" s="67"/>
      <c r="E277" s="120"/>
      <c r="F277" s="120"/>
    </row>
  </sheetData>
  <mergeCells count="8">
    <mergeCell ref="E11:E12"/>
    <mergeCell ref="I11:I12"/>
    <mergeCell ref="J11:K11"/>
    <mergeCell ref="A11:A12"/>
    <mergeCell ref="B11:B12"/>
    <mergeCell ref="C11:C12"/>
    <mergeCell ref="D11:D12"/>
    <mergeCell ref="F11:F12"/>
  </mergeCells>
  <phoneticPr fontId="0" type="noConversion"/>
  <pageMargins left="0.59055118110236227" right="0.19685039370078741" top="0.39370078740157483" bottom="0.39370078740157483" header="0.19685039370078741" footer="0.39370078740157483"/>
  <pageSetup paperSize="9" scale="85" fitToHeight="0" orientation="landscape" r:id="rId1"/>
  <headerFooter alignWithMargins="0">
    <oddFooter>&amp;RСтраница &amp;P из &amp;N</oddFooter>
  </headerFooter>
  <rowBreaks count="6" manualBreakCount="6">
    <brk id="65" max="16383" man="1"/>
    <brk id="101" max="16383" man="1"/>
    <brk id="144" max="16383" man="1"/>
    <brk id="178" max="16383" man="1"/>
    <brk id="211" max="16383" man="1"/>
    <brk id="2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topLeftCell="A8" workbookViewId="0">
      <selection activeCell="L8" sqref="L1:M65536"/>
    </sheetView>
  </sheetViews>
  <sheetFormatPr defaultRowHeight="12.75"/>
  <cols>
    <col min="1" max="1" width="32.85546875" style="3" customWidth="1"/>
    <col min="2" max="2" width="6.5703125" style="4" customWidth="1"/>
    <col min="3" max="3" width="18.7109375" style="2" customWidth="1"/>
    <col min="4" max="4" width="15.7109375" style="5" customWidth="1"/>
    <col min="5" max="5" width="14.28515625" style="5" customWidth="1"/>
    <col min="6" max="8" width="9.140625" style="5"/>
    <col min="9" max="9" width="16" style="5" customWidth="1"/>
    <col min="10" max="10" width="12.7109375" style="5" customWidth="1"/>
    <col min="11" max="11" width="0" style="5" hidden="1" customWidth="1"/>
    <col min="12" max="12" width="11.7109375" bestFit="1" customWidth="1"/>
    <col min="13" max="13" width="10.28515625" customWidth="1"/>
    <col min="14" max="14" width="11.28515625" bestFit="1" customWidth="1"/>
  </cols>
  <sheetData>
    <row r="1" spans="1:15" s="7" customFormat="1" ht="30" hidden="1" customHeight="1">
      <c r="C1" s="7" t="s">
        <v>0</v>
      </c>
    </row>
    <row r="2" spans="1:15" s="7" customFormat="1" hidden="1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5" s="7" customFormat="1" hidden="1">
      <c r="A3" s="8"/>
      <c r="B3" s="8"/>
      <c r="C3" s="8" t="s">
        <v>1</v>
      </c>
      <c r="D3" s="8"/>
      <c r="E3" s="8"/>
      <c r="F3" s="8"/>
      <c r="G3" s="8"/>
      <c r="H3" s="8"/>
      <c r="I3" s="8"/>
      <c r="J3" s="8"/>
      <c r="K3" s="8"/>
    </row>
    <row r="4" spans="1:15" s="7" customFormat="1" hidden="1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5" s="7" customFormat="1" hidden="1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5" s="7" customFormat="1" hidden="1">
      <c r="A6" s="8" t="s">
        <v>2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5" s="7" customFormat="1" hidden="1">
      <c r="A7" s="8" t="s">
        <v>3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5" s="7" customFormat="1">
      <c r="A8" s="8"/>
      <c r="B8" s="8"/>
      <c r="C8" s="8"/>
      <c r="D8" s="8"/>
      <c r="E8" s="8"/>
      <c r="F8" s="8"/>
      <c r="G8" s="8"/>
      <c r="H8" s="8"/>
      <c r="I8" s="8"/>
      <c r="J8" s="11" t="s">
        <v>15</v>
      </c>
      <c r="K8" s="8"/>
    </row>
    <row r="9" spans="1:15" s="7" customFormat="1">
      <c r="A9" s="158" t="s">
        <v>39</v>
      </c>
      <c r="B9" s="158"/>
      <c r="C9" s="158"/>
      <c r="D9" s="158"/>
      <c r="E9" s="158"/>
      <c r="F9" s="158"/>
      <c r="G9" s="159" t="s">
        <v>13</v>
      </c>
      <c r="H9" s="159"/>
      <c r="I9" s="27"/>
      <c r="J9" s="8"/>
      <c r="K9" s="8"/>
    </row>
    <row r="10" spans="1:15" s="6" customFormat="1">
      <c r="A10" s="160" t="s">
        <v>40</v>
      </c>
      <c r="B10" s="162" t="s">
        <v>41</v>
      </c>
      <c r="C10" s="160" t="s">
        <v>42</v>
      </c>
      <c r="D10" s="164" t="s">
        <v>43</v>
      </c>
      <c r="E10" s="157" t="s">
        <v>5</v>
      </c>
      <c r="F10" s="157"/>
      <c r="G10" s="157"/>
      <c r="H10" s="157"/>
      <c r="I10" s="157" t="s">
        <v>6</v>
      </c>
      <c r="J10" s="1"/>
      <c r="K10" s="1"/>
    </row>
    <row r="11" spans="1:15" s="9" customFormat="1" ht="60" customHeight="1">
      <c r="A11" s="161"/>
      <c r="B11" s="163"/>
      <c r="C11" s="161"/>
      <c r="D11" s="165"/>
      <c r="E11" s="21" t="s">
        <v>44</v>
      </c>
      <c r="F11" s="22" t="s">
        <v>45</v>
      </c>
      <c r="G11" s="22" t="s">
        <v>46</v>
      </c>
      <c r="H11" s="22" t="s">
        <v>47</v>
      </c>
      <c r="I11" s="157"/>
      <c r="J11" s="156"/>
      <c r="K11" s="10"/>
    </row>
    <row r="12" spans="1:15" s="9" customFormat="1" ht="11.25">
      <c r="A12" s="23" t="s">
        <v>48</v>
      </c>
      <c r="B12" s="24">
        <v>2</v>
      </c>
      <c r="C12" s="24" t="s">
        <v>49</v>
      </c>
      <c r="D12" s="24">
        <v>4</v>
      </c>
      <c r="E12" s="24">
        <v>5</v>
      </c>
      <c r="F12" s="24">
        <v>6</v>
      </c>
      <c r="G12" s="24">
        <v>7</v>
      </c>
      <c r="H12" s="24">
        <v>8</v>
      </c>
      <c r="I12" s="24">
        <v>9</v>
      </c>
      <c r="J12" s="156"/>
      <c r="K12" s="10"/>
      <c r="L12" s="87"/>
      <c r="M12" s="86"/>
    </row>
    <row r="13" spans="1:15" s="9" customFormat="1" ht="22.5">
      <c r="A13" s="15" t="s">
        <v>50</v>
      </c>
      <c r="B13" s="12">
        <v>500</v>
      </c>
      <c r="C13" s="13"/>
      <c r="D13" s="25">
        <f>D23-D24</f>
        <v>-33721.369999997318</v>
      </c>
      <c r="E13" s="25">
        <f>(E23)+E24</f>
        <v>-1174938.4900000002</v>
      </c>
      <c r="F13" s="14" t="s">
        <v>52</v>
      </c>
      <c r="G13" s="14" t="s">
        <v>52</v>
      </c>
      <c r="H13" s="14" t="s">
        <v>52</v>
      </c>
      <c r="I13" s="14" t="s">
        <v>52</v>
      </c>
      <c r="J13" s="26"/>
      <c r="K13" s="10"/>
      <c r="M13" s="28"/>
    </row>
    <row r="14" spans="1:15">
      <c r="A14" s="15" t="s">
        <v>53</v>
      </c>
      <c r="B14" s="12"/>
      <c r="C14" s="13"/>
      <c r="D14" s="25"/>
      <c r="E14" s="14"/>
      <c r="F14" s="14"/>
      <c r="G14" s="14"/>
      <c r="H14" s="14"/>
      <c r="I14" s="14"/>
      <c r="J14" s="17"/>
      <c r="K14" s="16"/>
      <c r="M14" s="78"/>
      <c r="N14" s="78"/>
    </row>
    <row r="15" spans="1:15" ht="22.5">
      <c r="A15" s="15" t="s">
        <v>54</v>
      </c>
      <c r="B15" s="12">
        <v>520</v>
      </c>
      <c r="C15" s="13" t="s">
        <v>51</v>
      </c>
      <c r="D15" s="25" t="s">
        <v>52</v>
      </c>
      <c r="E15" s="14"/>
      <c r="F15" s="14" t="s">
        <v>52</v>
      </c>
      <c r="G15" s="14" t="s">
        <v>52</v>
      </c>
      <c r="H15" s="14" t="s">
        <v>52</v>
      </c>
      <c r="I15" s="14" t="s">
        <v>52</v>
      </c>
      <c r="L15" s="77"/>
      <c r="M15" s="82"/>
      <c r="N15" s="79"/>
      <c r="O15" s="80"/>
    </row>
    <row r="16" spans="1:15">
      <c r="A16" s="15" t="s">
        <v>55</v>
      </c>
      <c r="B16" s="12"/>
      <c r="C16" s="13"/>
      <c r="D16" s="25"/>
      <c r="E16" s="14"/>
      <c r="F16" s="14"/>
      <c r="G16" s="14"/>
      <c r="H16" s="14"/>
      <c r="I16" s="14"/>
      <c r="N16" s="78"/>
    </row>
    <row r="17" spans="1:14" ht="22.5">
      <c r="A17" s="15" t="s">
        <v>56</v>
      </c>
      <c r="B17" s="12">
        <v>620</v>
      </c>
      <c r="C17" s="13" t="s">
        <v>51</v>
      </c>
      <c r="D17" s="25" t="s">
        <v>52</v>
      </c>
      <c r="E17" s="14"/>
      <c r="F17" s="14" t="s">
        <v>52</v>
      </c>
      <c r="G17" s="14" t="s">
        <v>52</v>
      </c>
      <c r="H17" s="14" t="s">
        <v>52</v>
      </c>
      <c r="I17" s="14" t="s">
        <v>52</v>
      </c>
      <c r="L17" s="84"/>
      <c r="M17" s="30"/>
      <c r="N17" s="81"/>
    </row>
    <row r="18" spans="1:14">
      <c r="A18" s="15" t="s">
        <v>57</v>
      </c>
      <c r="B18" s="12"/>
      <c r="C18" s="13"/>
      <c r="D18" s="25"/>
      <c r="E18" s="14"/>
      <c r="F18" s="14"/>
      <c r="G18" s="14"/>
      <c r="H18" s="14"/>
      <c r="I18" s="14"/>
    </row>
    <row r="19" spans="1:14">
      <c r="A19" s="15" t="s">
        <v>58</v>
      </c>
      <c r="B19" s="12">
        <v>700</v>
      </c>
      <c r="C19" s="13"/>
      <c r="D19" s="25" t="s">
        <v>52</v>
      </c>
      <c r="E19" s="14"/>
      <c r="F19" s="14" t="s">
        <v>52</v>
      </c>
      <c r="G19" s="14" t="s">
        <v>52</v>
      </c>
      <c r="H19" s="14" t="s">
        <v>52</v>
      </c>
      <c r="I19" s="14" t="s">
        <v>51</v>
      </c>
      <c r="L19" s="84"/>
    </row>
    <row r="20" spans="1:14" ht="22.5">
      <c r="A20" s="15" t="s">
        <v>59</v>
      </c>
      <c r="B20" s="12">
        <v>800</v>
      </c>
      <c r="C20" s="13" t="s">
        <v>51</v>
      </c>
      <c r="D20" s="25" t="s">
        <v>51</v>
      </c>
      <c r="E20" s="14"/>
      <c r="F20" s="14" t="s">
        <v>52</v>
      </c>
      <c r="G20" s="14" t="s">
        <v>52</v>
      </c>
      <c r="H20" s="14" t="s">
        <v>52</v>
      </c>
      <c r="I20" s="14" t="s">
        <v>51</v>
      </c>
      <c r="L20" s="78"/>
    </row>
    <row r="21" spans="1:14" ht="45">
      <c r="A21" s="15" t="s">
        <v>60</v>
      </c>
      <c r="B21" s="12">
        <v>810</v>
      </c>
      <c r="C21" s="13" t="s">
        <v>51</v>
      </c>
      <c r="D21" s="25" t="s">
        <v>51</v>
      </c>
      <c r="E21" s="25">
        <f>E23+E24</f>
        <v>-1174938.4900000002</v>
      </c>
      <c r="F21" s="14" t="s">
        <v>52</v>
      </c>
      <c r="G21" s="14" t="s">
        <v>51</v>
      </c>
      <c r="H21" s="14" t="s">
        <v>52</v>
      </c>
      <c r="I21" s="14" t="s">
        <v>51</v>
      </c>
    </row>
    <row r="22" spans="1:14">
      <c r="A22" s="15" t="s">
        <v>55</v>
      </c>
      <c r="B22" s="12"/>
      <c r="C22" s="13"/>
      <c r="D22" s="25"/>
      <c r="E22" s="14"/>
      <c r="F22" s="14"/>
      <c r="G22" s="14"/>
      <c r="H22" s="14"/>
      <c r="I22" s="14"/>
    </row>
    <row r="23" spans="1:14" ht="29.25" customHeight="1">
      <c r="A23" s="15" t="s">
        <v>61</v>
      </c>
      <c r="B23" s="12">
        <v>811</v>
      </c>
      <c r="C23" s="29"/>
      <c r="D23" s="25">
        <f>8001072+394400+16086496.6+80546.67+356570+98900</f>
        <v>25017985.270000003</v>
      </c>
      <c r="E23" s="25">
        <v>-8867597.5800000001</v>
      </c>
      <c r="F23" s="14" t="s">
        <v>51</v>
      </c>
      <c r="G23" s="14" t="s">
        <v>51</v>
      </c>
      <c r="H23" s="14" t="s">
        <v>52</v>
      </c>
      <c r="I23" s="14" t="s">
        <v>51</v>
      </c>
      <c r="L23" s="30"/>
    </row>
    <row r="24" spans="1:14" ht="22.5">
      <c r="A24" s="15" t="s">
        <v>62</v>
      </c>
      <c r="B24" s="12">
        <v>812</v>
      </c>
      <c r="C24" s="29"/>
      <c r="D24" s="25">
        <f>'Расходы бюджета'!D276</f>
        <v>25051706.640000001</v>
      </c>
      <c r="E24" s="25">
        <f>'Расходы бюджета'!I276</f>
        <v>7692659.0899999999</v>
      </c>
      <c r="F24" s="14" t="s">
        <v>52</v>
      </c>
      <c r="G24" s="14" t="s">
        <v>51</v>
      </c>
      <c r="H24" s="14" t="s">
        <v>52</v>
      </c>
      <c r="I24" s="14" t="s">
        <v>51</v>
      </c>
      <c r="L24" s="81"/>
    </row>
    <row r="25" spans="1:14" ht="22.5">
      <c r="A25" s="15" t="s">
        <v>63</v>
      </c>
      <c r="B25" s="12">
        <v>820</v>
      </c>
      <c r="C25" s="13" t="s">
        <v>51</v>
      </c>
      <c r="D25" s="14" t="s">
        <v>51</v>
      </c>
      <c r="E25" s="14"/>
      <c r="F25" s="14" t="s">
        <v>52</v>
      </c>
      <c r="G25" s="14" t="s">
        <v>52</v>
      </c>
      <c r="H25" s="14" t="s">
        <v>52</v>
      </c>
      <c r="I25" s="14" t="s">
        <v>51</v>
      </c>
    </row>
    <row r="26" spans="1:14">
      <c r="A26" s="15" t="s">
        <v>64</v>
      </c>
      <c r="B26" s="12"/>
      <c r="C26" s="13"/>
      <c r="D26" s="14"/>
      <c r="E26" s="14"/>
      <c r="F26" s="14"/>
      <c r="G26" s="14"/>
      <c r="H26" s="14"/>
      <c r="I26" s="14"/>
    </row>
    <row r="27" spans="1:14" ht="22.5">
      <c r="A27" s="15" t="s">
        <v>65</v>
      </c>
      <c r="B27" s="12">
        <v>821</v>
      </c>
      <c r="C27" s="13" t="s">
        <v>51</v>
      </c>
      <c r="D27" s="14" t="s">
        <v>51</v>
      </c>
      <c r="E27" s="14" t="s">
        <v>51</v>
      </c>
      <c r="F27" s="14" t="s">
        <v>52</v>
      </c>
      <c r="G27" s="14" t="s">
        <v>52</v>
      </c>
      <c r="H27" s="14" t="s">
        <v>52</v>
      </c>
      <c r="I27" s="14" t="s">
        <v>51</v>
      </c>
    </row>
    <row r="28" spans="1:14" ht="22.5">
      <c r="A28" s="15" t="s">
        <v>66</v>
      </c>
      <c r="B28" s="12">
        <v>822</v>
      </c>
      <c r="C28" s="13" t="s">
        <v>51</v>
      </c>
      <c r="D28" s="14" t="s">
        <v>51</v>
      </c>
      <c r="E28" s="14" t="s">
        <v>51</v>
      </c>
      <c r="F28" s="14" t="s">
        <v>52</v>
      </c>
      <c r="G28" s="14" t="s">
        <v>52</v>
      </c>
      <c r="H28" s="14" t="s">
        <v>52</v>
      </c>
      <c r="I28" s="14" t="s">
        <v>51</v>
      </c>
    </row>
    <row r="30" spans="1:14">
      <c r="A30" s="18" t="s">
        <v>67</v>
      </c>
      <c r="B30" s="19"/>
      <c r="C30" s="20" t="s">
        <v>96</v>
      </c>
    </row>
    <row r="31" spans="1:14">
      <c r="A31" s="18"/>
      <c r="B31" s="19"/>
      <c r="C31" s="20"/>
    </row>
    <row r="32" spans="1:14">
      <c r="A32" s="18" t="s">
        <v>68</v>
      </c>
      <c r="B32" s="19"/>
      <c r="C32" s="20" t="s">
        <v>69</v>
      </c>
    </row>
    <row r="33" spans="1:3">
      <c r="A33" s="18"/>
      <c r="B33" s="19"/>
      <c r="C33" s="20"/>
    </row>
    <row r="34" spans="1:3">
      <c r="A34" s="18" t="s">
        <v>299</v>
      </c>
      <c r="B34" s="19"/>
      <c r="C34" s="20"/>
    </row>
  </sheetData>
  <mergeCells count="9">
    <mergeCell ref="J11:J12"/>
    <mergeCell ref="I10:I11"/>
    <mergeCell ref="A9:F9"/>
    <mergeCell ref="G9:H9"/>
    <mergeCell ref="A10:A11"/>
    <mergeCell ref="B10:B11"/>
    <mergeCell ref="C10:C11"/>
    <mergeCell ref="D10:D11"/>
    <mergeCell ref="E10:H10"/>
  </mergeCells>
  <phoneticPr fontId="0" type="noConversion"/>
  <pageMargins left="0.78740157480314954" right="0.19685039370078738" top="0.39370078740157477" bottom="0.39370078740157477" header="0" footer="0"/>
  <pageSetup paperSize="9" scale="83" fitToHeight="0" orientation="landscape" r:id="rId1"/>
  <headerFooter alignWithMargins="0">
    <oddFooter>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Расходы бюджета</vt:lpstr>
      <vt:lpstr>ИФДБ</vt:lpstr>
      <vt:lpstr>ИФДБ!Заголовки_для_печати</vt:lpstr>
      <vt:lpstr>'Расходы бюджета'!Заголовки_для_печати</vt:lpstr>
    </vt:vector>
  </TitlesOfParts>
  <Company>CC System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Yu. Pronina</dc:creator>
  <cp:lastModifiedBy>Саенко</cp:lastModifiedBy>
  <cp:lastPrinted>2014-07-03T09:19:37Z</cp:lastPrinted>
  <dcterms:created xsi:type="dcterms:W3CDTF">2005-06-23T13:40:44Z</dcterms:created>
  <dcterms:modified xsi:type="dcterms:W3CDTF">2015-06-17T02:35:59Z</dcterms:modified>
</cp:coreProperties>
</file>