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-285" windowWidth="10995" windowHeight="9165" activeTab="1"/>
  </bookViews>
  <sheets>
    <sheet name="Расходы бюджета" sheetId="3" r:id="rId1"/>
    <sheet name="ИФДБ" sheetId="2" r:id="rId2"/>
  </sheets>
  <definedNames>
    <definedName name="_xlnm.Print_Titles" localSheetId="1">ИФДБ!$13:$13</definedName>
    <definedName name="_xlnm.Print_Titles" localSheetId="0">'Расходы бюджета'!$13:$13</definedName>
  </definedNames>
  <calcPr calcId="125725" fullCalcOnLoad="1"/>
</workbook>
</file>

<file path=xl/calcChain.xml><?xml version="1.0" encoding="utf-8"?>
<calcChain xmlns="http://schemas.openxmlformats.org/spreadsheetml/2006/main">
  <c r="D147" i="3"/>
  <c r="D152"/>
  <c r="D23" i="2"/>
  <c r="D47" i="3"/>
  <c r="J276"/>
  <c r="E277"/>
  <c r="F277"/>
  <c r="G277"/>
  <c r="H277"/>
  <c r="I277"/>
  <c r="J277"/>
  <c r="K277"/>
  <c r="D277"/>
  <c r="K156"/>
  <c r="J156"/>
  <c r="E154"/>
  <c r="D154"/>
  <c r="D63"/>
  <c r="E63"/>
  <c r="E62"/>
  <c r="D62"/>
  <c r="E153"/>
  <c r="D153"/>
  <c r="E170"/>
  <c r="E169"/>
  <c r="D67"/>
  <c r="E67"/>
  <c r="E47"/>
  <c r="I60"/>
  <c r="I110"/>
  <c r="I109"/>
  <c r="D272"/>
  <c r="E272"/>
  <c r="F272"/>
  <c r="G272"/>
  <c r="H272"/>
  <c r="I272"/>
  <c r="D48"/>
  <c r="K160"/>
  <c r="J160"/>
  <c r="E19"/>
  <c r="E46"/>
  <c r="E165"/>
  <c r="I177"/>
  <c r="K46"/>
  <c r="K159"/>
  <c r="J159"/>
  <c r="D100"/>
  <c r="D141"/>
  <c r="D140"/>
  <c r="D199"/>
  <c r="D200"/>
  <c r="D193"/>
  <c r="K193"/>
  <c r="D192"/>
  <c r="J192"/>
  <c r="D186"/>
  <c r="E76"/>
  <c r="F76"/>
  <c r="G76"/>
  <c r="H76"/>
  <c r="I76"/>
  <c r="D76"/>
  <c r="K78"/>
  <c r="J78"/>
  <c r="K77"/>
  <c r="K76"/>
  <c r="J77"/>
  <c r="J76"/>
  <c r="D61"/>
  <c r="D265"/>
  <c r="I264"/>
  <c r="I48"/>
  <c r="I212"/>
  <c r="I208"/>
  <c r="H212"/>
  <c r="G212"/>
  <c r="G208"/>
  <c r="F212"/>
  <c r="E212"/>
  <c r="E208"/>
  <c r="E184"/>
  <c r="E183"/>
  <c r="E279"/>
  <c r="D212"/>
  <c r="K211"/>
  <c r="J211"/>
  <c r="K210"/>
  <c r="K212"/>
  <c r="J210"/>
  <c r="J212"/>
  <c r="K209"/>
  <c r="J209"/>
  <c r="J208"/>
  <c r="H208"/>
  <c r="F208"/>
  <c r="D208"/>
  <c r="E225"/>
  <c r="I225"/>
  <c r="D225"/>
  <c r="K229"/>
  <c r="J229"/>
  <c r="H229"/>
  <c r="G229"/>
  <c r="F229"/>
  <c r="D223"/>
  <c r="D224"/>
  <c r="D222"/>
  <c r="D218"/>
  <c r="D217"/>
  <c r="D216"/>
  <c r="K110"/>
  <c r="K105"/>
  <c r="E273"/>
  <c r="F273"/>
  <c r="G273"/>
  <c r="H273"/>
  <c r="I273"/>
  <c r="D273"/>
  <c r="I239"/>
  <c r="I235"/>
  <c r="E239"/>
  <c r="E235"/>
  <c r="D239"/>
  <c r="D235"/>
  <c r="K238"/>
  <c r="J238"/>
  <c r="K237"/>
  <c r="K239"/>
  <c r="K235"/>
  <c r="J237"/>
  <c r="J239"/>
  <c r="H239"/>
  <c r="H235"/>
  <c r="G239"/>
  <c r="G235"/>
  <c r="F239"/>
  <c r="F235"/>
  <c r="K236"/>
  <c r="J236"/>
  <c r="J235"/>
  <c r="I214"/>
  <c r="H214"/>
  <c r="G214"/>
  <c r="F214"/>
  <c r="E214"/>
  <c r="D214"/>
  <c r="K213"/>
  <c r="J213"/>
  <c r="D245"/>
  <c r="J245"/>
  <c r="D244"/>
  <c r="D246"/>
  <c r="D243"/>
  <c r="D242"/>
  <c r="D49"/>
  <c r="E242"/>
  <c r="E241"/>
  <c r="I242"/>
  <c r="K248"/>
  <c r="J248"/>
  <c r="K247"/>
  <c r="J247"/>
  <c r="K250"/>
  <c r="J250"/>
  <c r="K145"/>
  <c r="J145"/>
  <c r="K149"/>
  <c r="K273"/>
  <c r="J149"/>
  <c r="D51"/>
  <c r="J166"/>
  <c r="F137"/>
  <c r="F136"/>
  <c r="G137"/>
  <c r="G136"/>
  <c r="H137"/>
  <c r="H136"/>
  <c r="I137"/>
  <c r="I136"/>
  <c r="E271"/>
  <c r="F271"/>
  <c r="G271"/>
  <c r="H271"/>
  <c r="I271"/>
  <c r="K140"/>
  <c r="J140"/>
  <c r="E267"/>
  <c r="J143"/>
  <c r="K143"/>
  <c r="K142"/>
  <c r="J142"/>
  <c r="D139"/>
  <c r="D271"/>
  <c r="E80"/>
  <c r="F80"/>
  <c r="G80"/>
  <c r="H80"/>
  <c r="I80"/>
  <c r="D80"/>
  <c r="K82"/>
  <c r="J82"/>
  <c r="D267"/>
  <c r="E86"/>
  <c r="F86"/>
  <c r="G86"/>
  <c r="H86"/>
  <c r="I86"/>
  <c r="D86"/>
  <c r="E274"/>
  <c r="F274"/>
  <c r="G274"/>
  <c r="H274"/>
  <c r="I274"/>
  <c r="D274"/>
  <c r="E276"/>
  <c r="F276"/>
  <c r="G276"/>
  <c r="H276"/>
  <c r="I276"/>
  <c r="G278"/>
  <c r="H278"/>
  <c r="I278"/>
  <c r="D276"/>
  <c r="F267"/>
  <c r="G267"/>
  <c r="H267"/>
  <c r="I267"/>
  <c r="E266"/>
  <c r="F266"/>
  <c r="G266"/>
  <c r="H266"/>
  <c r="I266"/>
  <c r="E268"/>
  <c r="F268"/>
  <c r="G268"/>
  <c r="H268"/>
  <c r="H269"/>
  <c r="I268"/>
  <c r="D268"/>
  <c r="D266"/>
  <c r="D269"/>
  <c r="E264"/>
  <c r="F264"/>
  <c r="F263"/>
  <c r="G264"/>
  <c r="H264"/>
  <c r="H263"/>
  <c r="E265"/>
  <c r="F265"/>
  <c r="G265"/>
  <c r="G263"/>
  <c r="H265"/>
  <c r="I265"/>
  <c r="D264"/>
  <c r="D263"/>
  <c r="E260"/>
  <c r="F260"/>
  <c r="G260"/>
  <c r="H260"/>
  <c r="I260"/>
  <c r="E261"/>
  <c r="F261"/>
  <c r="F262"/>
  <c r="G261"/>
  <c r="G262"/>
  <c r="H261"/>
  <c r="I261"/>
  <c r="D261"/>
  <c r="D260"/>
  <c r="E258"/>
  <c r="F258"/>
  <c r="G258"/>
  <c r="H258"/>
  <c r="I258"/>
  <c r="D258"/>
  <c r="E257"/>
  <c r="E259"/>
  <c r="F257"/>
  <c r="F259"/>
  <c r="G257"/>
  <c r="H257"/>
  <c r="I257"/>
  <c r="E255"/>
  <c r="F255"/>
  <c r="G255"/>
  <c r="H255"/>
  <c r="I255"/>
  <c r="D255"/>
  <c r="E254"/>
  <c r="E256"/>
  <c r="F254"/>
  <c r="G254"/>
  <c r="H254"/>
  <c r="I254"/>
  <c r="D254"/>
  <c r="E246"/>
  <c r="F246"/>
  <c r="G246"/>
  <c r="H246"/>
  <c r="I246"/>
  <c r="K233"/>
  <c r="J233"/>
  <c r="K232"/>
  <c r="J232"/>
  <c r="K231"/>
  <c r="J231"/>
  <c r="K230"/>
  <c r="J230"/>
  <c r="K228"/>
  <c r="J228"/>
  <c r="K227"/>
  <c r="J227"/>
  <c r="K226"/>
  <c r="J226"/>
  <c r="J225"/>
  <c r="K223"/>
  <c r="J223"/>
  <c r="K222"/>
  <c r="K224"/>
  <c r="J222"/>
  <c r="J224"/>
  <c r="J217"/>
  <c r="J216"/>
  <c r="J219"/>
  <c r="K219"/>
  <c r="K221"/>
  <c r="J220"/>
  <c r="K220"/>
  <c r="K218"/>
  <c r="J218"/>
  <c r="E176"/>
  <c r="F176"/>
  <c r="G176"/>
  <c r="H176"/>
  <c r="I176"/>
  <c r="D176"/>
  <c r="K173"/>
  <c r="J173"/>
  <c r="E124"/>
  <c r="E123"/>
  <c r="F124"/>
  <c r="F123"/>
  <c r="G124"/>
  <c r="G123"/>
  <c r="H124"/>
  <c r="H123"/>
  <c r="I124"/>
  <c r="I123"/>
  <c r="D124"/>
  <c r="D123"/>
  <c r="E116"/>
  <c r="F116"/>
  <c r="G116"/>
  <c r="H116"/>
  <c r="I116"/>
  <c r="D116"/>
  <c r="E98"/>
  <c r="F98"/>
  <c r="G98"/>
  <c r="H98"/>
  <c r="I98"/>
  <c r="D98"/>
  <c r="K56"/>
  <c r="J56"/>
  <c r="K174"/>
  <c r="J174"/>
  <c r="E152"/>
  <c r="E151"/>
  <c r="E147"/>
  <c r="K147"/>
  <c r="F152"/>
  <c r="F151"/>
  <c r="F147"/>
  <c r="G152"/>
  <c r="G151"/>
  <c r="G147"/>
  <c r="H152"/>
  <c r="H151"/>
  <c r="H147"/>
  <c r="I152"/>
  <c r="I151"/>
  <c r="I147"/>
  <c r="D151"/>
  <c r="J147"/>
  <c r="J141"/>
  <c r="E137"/>
  <c r="E136"/>
  <c r="K139"/>
  <c r="J139"/>
  <c r="J137"/>
  <c r="J105"/>
  <c r="J17"/>
  <c r="K17"/>
  <c r="J180"/>
  <c r="K180"/>
  <c r="J129"/>
  <c r="J118"/>
  <c r="K118"/>
  <c r="K113"/>
  <c r="J113"/>
  <c r="D73"/>
  <c r="K74"/>
  <c r="J74"/>
  <c r="K57"/>
  <c r="J57"/>
  <c r="K187"/>
  <c r="K188"/>
  <c r="J187"/>
  <c r="J188"/>
  <c r="K245"/>
  <c r="K244"/>
  <c r="J244"/>
  <c r="K243"/>
  <c r="J153"/>
  <c r="J154"/>
  <c r="J155"/>
  <c r="J157"/>
  <c r="K153"/>
  <c r="K154"/>
  <c r="K155"/>
  <c r="K157"/>
  <c r="J119"/>
  <c r="K119"/>
  <c r="K69"/>
  <c r="J69"/>
  <c r="K47"/>
  <c r="K48"/>
  <c r="J47"/>
  <c r="J46"/>
  <c r="F21"/>
  <c r="F16"/>
  <c r="F15"/>
  <c r="G21"/>
  <c r="G16"/>
  <c r="G15"/>
  <c r="H21"/>
  <c r="H16"/>
  <c r="H15"/>
  <c r="I21"/>
  <c r="I16"/>
  <c r="I15"/>
  <c r="J19"/>
  <c r="J20"/>
  <c r="J21"/>
  <c r="J16"/>
  <c r="J15"/>
  <c r="K19"/>
  <c r="K20"/>
  <c r="K18"/>
  <c r="J18"/>
  <c r="I39"/>
  <c r="I40"/>
  <c r="I41"/>
  <c r="I42"/>
  <c r="D39"/>
  <c r="D41"/>
  <c r="D42"/>
  <c r="D43"/>
  <c r="D44"/>
  <c r="D40"/>
  <c r="K67"/>
  <c r="K68"/>
  <c r="K96"/>
  <c r="K274"/>
  <c r="J66"/>
  <c r="J167"/>
  <c r="J168"/>
  <c r="K177"/>
  <c r="K169"/>
  <c r="I111"/>
  <c r="K165"/>
  <c r="K197"/>
  <c r="E168"/>
  <c r="K115"/>
  <c r="E108"/>
  <c r="K49"/>
  <c r="E21"/>
  <c r="E16"/>
  <c r="E15"/>
  <c r="E39"/>
  <c r="K39"/>
  <c r="J121"/>
  <c r="J60"/>
  <c r="J165"/>
  <c r="J109"/>
  <c r="J115"/>
  <c r="J68"/>
  <c r="J70"/>
  <c r="J99"/>
  <c r="J120"/>
  <c r="D54"/>
  <c r="J178"/>
  <c r="K81"/>
  <c r="K80"/>
  <c r="J81"/>
  <c r="J80"/>
  <c r="F218"/>
  <c r="G218"/>
  <c r="H218"/>
  <c r="H249"/>
  <c r="H242"/>
  <c r="J249"/>
  <c r="J251"/>
  <c r="K249"/>
  <c r="K251"/>
  <c r="J84"/>
  <c r="J273"/>
  <c r="K84"/>
  <c r="E40"/>
  <c r="E41"/>
  <c r="K41"/>
  <c r="K43"/>
  <c r="E171"/>
  <c r="E164"/>
  <c r="E163"/>
  <c r="E162"/>
  <c r="E135"/>
  <c r="J128"/>
  <c r="J124"/>
  <c r="J123"/>
  <c r="K128"/>
  <c r="K129"/>
  <c r="K124"/>
  <c r="K123"/>
  <c r="K179"/>
  <c r="K99"/>
  <c r="K120"/>
  <c r="J189"/>
  <c r="J191"/>
  <c r="J203"/>
  <c r="J204"/>
  <c r="J202"/>
  <c r="J196"/>
  <c r="J206"/>
  <c r="J200"/>
  <c r="J198"/>
  <c r="J197"/>
  <c r="J205"/>
  <c r="K189"/>
  <c r="K198"/>
  <c r="K200"/>
  <c r="K192"/>
  <c r="K202"/>
  <c r="K196"/>
  <c r="K204"/>
  <c r="K206"/>
  <c r="K205"/>
  <c r="J96"/>
  <c r="J274"/>
  <c r="J86"/>
  <c r="J91"/>
  <c r="J49"/>
  <c r="J52"/>
  <c r="J92"/>
  <c r="J94"/>
  <c r="J95"/>
  <c r="J93"/>
  <c r="J61"/>
  <c r="J265"/>
  <c r="J62"/>
  <c r="J266"/>
  <c r="J64"/>
  <c r="J268"/>
  <c r="J87"/>
  <c r="J88"/>
  <c r="J89"/>
  <c r="J71"/>
  <c r="J169"/>
  <c r="J170"/>
  <c r="J171"/>
  <c r="J164"/>
  <c r="J177"/>
  <c r="J181"/>
  <c r="J100"/>
  <c r="J98"/>
  <c r="J125"/>
  <c r="J126"/>
  <c r="J110"/>
  <c r="J111"/>
  <c r="J104"/>
  <c r="J106"/>
  <c r="J107"/>
  <c r="J117"/>
  <c r="J271"/>
  <c r="J131"/>
  <c r="J132"/>
  <c r="J133"/>
  <c r="K91"/>
  <c r="K52"/>
  <c r="K260"/>
  <c r="K92"/>
  <c r="K93"/>
  <c r="K63"/>
  <c r="K267"/>
  <c r="K64"/>
  <c r="K268"/>
  <c r="K66"/>
  <c r="K87"/>
  <c r="K88"/>
  <c r="K71"/>
  <c r="K276"/>
  <c r="K72"/>
  <c r="K170"/>
  <c r="K167"/>
  <c r="K178"/>
  <c r="K181"/>
  <c r="K125"/>
  <c r="K126"/>
  <c r="K106"/>
  <c r="K107"/>
  <c r="K117"/>
  <c r="K116"/>
  <c r="K121"/>
  <c r="K131"/>
  <c r="K132"/>
  <c r="K133"/>
  <c r="F39"/>
  <c r="F41"/>
  <c r="F42"/>
  <c r="F40"/>
  <c r="F108"/>
  <c r="F111"/>
  <c r="F104"/>
  <c r="F103"/>
  <c r="F102"/>
  <c r="F168"/>
  <c r="F171"/>
  <c r="F135"/>
  <c r="G39"/>
  <c r="G44"/>
  <c r="G41"/>
  <c r="G42"/>
  <c r="G40"/>
  <c r="G108"/>
  <c r="G111"/>
  <c r="G104"/>
  <c r="G103"/>
  <c r="G102"/>
  <c r="G168"/>
  <c r="G171"/>
  <c r="G135"/>
  <c r="H39"/>
  <c r="H41"/>
  <c r="H42"/>
  <c r="H43"/>
  <c r="H44"/>
  <c r="H40"/>
  <c r="H108"/>
  <c r="H111"/>
  <c r="H104"/>
  <c r="H103"/>
  <c r="H102"/>
  <c r="H168"/>
  <c r="H171"/>
  <c r="H135"/>
  <c r="I168"/>
  <c r="I108"/>
  <c r="I135"/>
  <c r="D171"/>
  <c r="D108"/>
  <c r="D135"/>
  <c r="E48"/>
  <c r="E73"/>
  <c r="D65"/>
  <c r="I65"/>
  <c r="I59"/>
  <c r="I73"/>
  <c r="I51"/>
  <c r="F191"/>
  <c r="G191"/>
  <c r="H191"/>
  <c r="E134"/>
  <c r="F134"/>
  <c r="G134"/>
  <c r="H134"/>
  <c r="I134"/>
  <c r="D134"/>
  <c r="F219"/>
  <c r="F221"/>
  <c r="G219"/>
  <c r="G220"/>
  <c r="H219"/>
  <c r="F220"/>
  <c r="H220"/>
  <c r="F222"/>
  <c r="F224"/>
  <c r="F217"/>
  <c r="G222"/>
  <c r="H222"/>
  <c r="H224"/>
  <c r="F223"/>
  <c r="G223"/>
  <c r="H223"/>
  <c r="F226"/>
  <c r="G226"/>
  <c r="H226"/>
  <c r="H225"/>
  <c r="F227"/>
  <c r="F225"/>
  <c r="G227"/>
  <c r="H227"/>
  <c r="F228"/>
  <c r="G228"/>
  <c r="H228"/>
  <c r="F230"/>
  <c r="G230"/>
  <c r="G225"/>
  <c r="H230"/>
  <c r="F231"/>
  <c r="G231"/>
  <c r="H231"/>
  <c r="F233"/>
  <c r="G233"/>
  <c r="H233"/>
  <c r="D221"/>
  <c r="F48"/>
  <c r="F51"/>
  <c r="F54"/>
  <c r="F45"/>
  <c r="F24"/>
  <c r="F23"/>
  <c r="F65"/>
  <c r="F59"/>
  <c r="F73"/>
  <c r="G48"/>
  <c r="G45"/>
  <c r="G24"/>
  <c r="G23"/>
  <c r="G51"/>
  <c r="G54"/>
  <c r="G65"/>
  <c r="G59"/>
  <c r="G73"/>
  <c r="H48"/>
  <c r="H51"/>
  <c r="H54"/>
  <c r="H65"/>
  <c r="H59"/>
  <c r="H24"/>
  <c r="H23"/>
  <c r="H73"/>
  <c r="E201"/>
  <c r="E195"/>
  <c r="F194"/>
  <c r="F201"/>
  <c r="F195"/>
  <c r="G194"/>
  <c r="G201"/>
  <c r="G195"/>
  <c r="H194"/>
  <c r="H201"/>
  <c r="H195"/>
  <c r="I194"/>
  <c r="I201"/>
  <c r="I195"/>
  <c r="K32"/>
  <c r="K36"/>
  <c r="K33"/>
  <c r="K34"/>
  <c r="J32"/>
  <c r="J33"/>
  <c r="J34"/>
  <c r="J35"/>
  <c r="J36"/>
  <c r="I35"/>
  <c r="I36"/>
  <c r="H35"/>
  <c r="H36"/>
  <c r="G35"/>
  <c r="G36"/>
  <c r="F35"/>
  <c r="F36"/>
  <c r="E35"/>
  <c r="E36"/>
  <c r="D35"/>
  <c r="D36"/>
  <c r="J25"/>
  <c r="J26"/>
  <c r="J27"/>
  <c r="K25"/>
  <c r="K26"/>
  <c r="K27"/>
  <c r="E89"/>
  <c r="F89"/>
  <c r="G89"/>
  <c r="H89"/>
  <c r="I89"/>
  <c r="D89"/>
  <c r="F94"/>
  <c r="F95"/>
  <c r="F28"/>
  <c r="F29"/>
  <c r="I94"/>
  <c r="I95"/>
  <c r="H94"/>
  <c r="H95"/>
  <c r="G94"/>
  <c r="G95"/>
  <c r="E94"/>
  <c r="E95"/>
  <c r="D94"/>
  <c r="D95"/>
  <c r="E28"/>
  <c r="E29"/>
  <c r="G28"/>
  <c r="G29"/>
  <c r="H28"/>
  <c r="H29"/>
  <c r="I28"/>
  <c r="I29"/>
  <c r="K28"/>
  <c r="K29"/>
  <c r="D28"/>
  <c r="D29"/>
  <c r="D21"/>
  <c r="D16"/>
  <c r="D15"/>
  <c r="I221"/>
  <c r="J67"/>
  <c r="J72"/>
  <c r="J190"/>
  <c r="D191"/>
  <c r="K50"/>
  <c r="K70"/>
  <c r="E111"/>
  <c r="E104"/>
  <c r="E103"/>
  <c r="E102"/>
  <c r="K109"/>
  <c r="I54"/>
  <c r="J186"/>
  <c r="K186"/>
  <c r="E194"/>
  <c r="D45"/>
  <c r="K62"/>
  <c r="K266"/>
  <c r="I191"/>
  <c r="J199"/>
  <c r="J201"/>
  <c r="J195"/>
  <c r="D201"/>
  <c r="D195"/>
  <c r="J193"/>
  <c r="K53"/>
  <c r="K54"/>
  <c r="E54"/>
  <c r="K199"/>
  <c r="K201"/>
  <c r="J50"/>
  <c r="J51"/>
  <c r="K190"/>
  <c r="E191"/>
  <c r="K100"/>
  <c r="K98"/>
  <c r="D168"/>
  <c r="D164"/>
  <c r="D163"/>
  <c r="I224"/>
  <c r="I217"/>
  <c r="I216"/>
  <c r="E224"/>
  <c r="E221"/>
  <c r="E51"/>
  <c r="E45"/>
  <c r="E65"/>
  <c r="E59"/>
  <c r="D111"/>
  <c r="D104"/>
  <c r="D103"/>
  <c r="D102"/>
  <c r="I171"/>
  <c r="I164"/>
  <c r="I163"/>
  <c r="K166"/>
  <c r="K168"/>
  <c r="K61"/>
  <c r="K265"/>
  <c r="J53"/>
  <c r="J261"/>
  <c r="K203"/>
  <c r="E42"/>
  <c r="E43"/>
  <c r="E44"/>
  <c r="G43"/>
  <c r="J42"/>
  <c r="J179"/>
  <c r="J176"/>
  <c r="G224"/>
  <c r="J134"/>
  <c r="K171"/>
  <c r="K164"/>
  <c r="J39"/>
  <c r="K134"/>
  <c r="J41"/>
  <c r="J43"/>
  <c r="J44"/>
  <c r="J48"/>
  <c r="H262"/>
  <c r="J40"/>
  <c r="J221"/>
  <c r="G221"/>
  <c r="G217"/>
  <c r="G216"/>
  <c r="K108"/>
  <c r="G259"/>
  <c r="D262"/>
  <c r="K135"/>
  <c r="E262"/>
  <c r="D256"/>
  <c r="K73"/>
  <c r="K141"/>
  <c r="K137"/>
  <c r="J264"/>
  <c r="J258"/>
  <c r="J255"/>
  <c r="J256"/>
  <c r="J280"/>
  <c r="J254"/>
  <c r="G249"/>
  <c r="G242"/>
  <c r="H185"/>
  <c r="H184"/>
  <c r="F185"/>
  <c r="F184"/>
  <c r="F249"/>
  <c r="F242"/>
  <c r="G185"/>
  <c r="G184"/>
  <c r="G183"/>
  <c r="G279"/>
  <c r="K176"/>
  <c r="K191"/>
  <c r="K35"/>
  <c r="H45"/>
  <c r="J152"/>
  <c r="J151"/>
  <c r="G164"/>
  <c r="G163"/>
  <c r="G162"/>
  <c r="H164"/>
  <c r="H163"/>
  <c r="H162"/>
  <c r="F164"/>
  <c r="F163"/>
  <c r="G269"/>
  <c r="H221"/>
  <c r="H217"/>
  <c r="H216"/>
  <c r="H183"/>
  <c r="K40"/>
  <c r="H259"/>
  <c r="I259"/>
  <c r="I269"/>
  <c r="F278"/>
  <c r="K89"/>
  <c r="D278"/>
  <c r="F269"/>
  <c r="H256"/>
  <c r="G256"/>
  <c r="F256"/>
  <c r="F43"/>
  <c r="F44"/>
  <c r="K94"/>
  <c r="K95"/>
  <c r="J28"/>
  <c r="J29"/>
  <c r="J135"/>
  <c r="K152"/>
  <c r="K151"/>
  <c r="J257"/>
  <c r="J259"/>
  <c r="D257"/>
  <c r="D259"/>
  <c r="I241"/>
  <c r="K42"/>
  <c r="J214"/>
  <c r="I43"/>
  <c r="K21"/>
  <c r="K16"/>
  <c r="K15"/>
  <c r="K194"/>
  <c r="K185"/>
  <c r="G241"/>
  <c r="D241"/>
  <c r="K65"/>
  <c r="J108"/>
  <c r="D137"/>
  <c r="D136"/>
  <c r="J136"/>
  <c r="J73"/>
  <c r="I104"/>
  <c r="I103"/>
  <c r="I102"/>
  <c r="J260"/>
  <c r="D194"/>
  <c r="D185"/>
  <c r="D184"/>
  <c r="D183"/>
  <c r="D279"/>
  <c r="I185"/>
  <c r="D59"/>
  <c r="K60"/>
  <c r="K264"/>
  <c r="J63"/>
  <c r="J267"/>
  <c r="J243"/>
  <c r="J246"/>
  <c r="I263"/>
  <c r="K195"/>
  <c r="K214"/>
  <c r="K208"/>
  <c r="J65"/>
  <c r="J59"/>
  <c r="K59"/>
  <c r="K225"/>
  <c r="E217"/>
  <c r="E216"/>
  <c r="E185"/>
  <c r="K257"/>
  <c r="K242"/>
  <c r="K241"/>
  <c r="E269"/>
  <c r="E263"/>
  <c r="K271"/>
  <c r="K111"/>
  <c r="K104"/>
  <c r="K103"/>
  <c r="K102"/>
  <c r="E278"/>
  <c r="K51"/>
  <c r="J242"/>
  <c r="J241"/>
  <c r="K246"/>
  <c r="K255"/>
  <c r="K136"/>
  <c r="J54"/>
  <c r="K261"/>
  <c r="I45"/>
  <c r="I24"/>
  <c r="K258"/>
  <c r="K259"/>
  <c r="I256"/>
  <c r="I44"/>
  <c r="K254"/>
  <c r="K256"/>
  <c r="E24"/>
  <c r="E14"/>
  <c r="J272"/>
  <c r="K272"/>
  <c r="D162"/>
  <c r="H14"/>
  <c r="G280"/>
  <c r="F241"/>
  <c r="H241"/>
  <c r="H279"/>
  <c r="H280"/>
  <c r="D280"/>
  <c r="D24" i="2"/>
  <c r="D13" s="1"/>
  <c r="F216" i="3"/>
  <c r="F183"/>
  <c r="K44"/>
  <c r="G14"/>
  <c r="F14"/>
  <c r="K86"/>
  <c r="J116"/>
  <c r="F162"/>
  <c r="F279"/>
  <c r="F280"/>
  <c r="E23"/>
  <c r="J103"/>
  <c r="J102"/>
  <c r="E280"/>
  <c r="K269"/>
  <c r="J269"/>
  <c r="J263"/>
  <c r="D24"/>
  <c r="D23"/>
  <c r="K163"/>
  <c r="J163"/>
  <c r="K217"/>
  <c r="K216"/>
  <c r="I184"/>
  <c r="I183"/>
  <c r="I162"/>
  <c r="K184"/>
  <c r="K183"/>
  <c r="K279"/>
  <c r="J194"/>
  <c r="J185"/>
  <c r="J184"/>
  <c r="J183"/>
  <c r="I279"/>
  <c r="K278"/>
  <c r="J278"/>
  <c r="K263"/>
  <c r="K262"/>
  <c r="I262"/>
  <c r="J262"/>
  <c r="J45"/>
  <c r="J24"/>
  <c r="K45"/>
  <c r="K24"/>
  <c r="K23"/>
  <c r="I23"/>
  <c r="I14"/>
  <c r="D14"/>
  <c r="I280"/>
  <c r="E24" i="2"/>
  <c r="E21"/>
  <c r="J162" i="3"/>
  <c r="K280"/>
  <c r="K162"/>
  <c r="J279"/>
  <c r="K14"/>
  <c r="E13" i="2"/>
  <c r="J14" i="3"/>
  <c r="J23"/>
</calcChain>
</file>

<file path=xl/sharedStrings.xml><?xml version="1.0" encoding="utf-8"?>
<sst xmlns="http://schemas.openxmlformats.org/spreadsheetml/2006/main" count="533" uniqueCount="305">
  <si>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</si>
  <si>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</si>
  <si>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</si>
  <si>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</si>
  <si>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</si>
  <si>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</si>
  <si>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</si>
  <si>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</si>
  <si>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Код расхода по ФКР (Р/ПР, ЦСР, ВР),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</si>
  <si>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</si>
  <si>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</si>
  <si>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ассигнованиям</t>
  </si>
  <si>
    <t>по лимитам бюджетных обязательств</t>
  </si>
  <si>
    <t>Форма по ОКУД</t>
  </si>
  <si>
    <t xml:space="preserve">     Форма 0503128  с.2</t>
  </si>
  <si>
    <t xml:space="preserve">                        Форма 0503128  с.3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</si>
  <si>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</si>
  <si>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</si>
  <si>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</si>
  <si>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</si>
  <si>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</si>
  <si>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</si>
  <si>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</si>
  <si>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</si>
  <si>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</si>
  <si>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ВСЕГО</t>
  </si>
  <si>
    <t xml:space="preserve">Заработная плата </t>
  </si>
  <si>
    <t>оплата труда работников по  ЕТС</t>
  </si>
  <si>
    <t>на компенсацию расходов по оплате стоимости проезда и провоза багажа к месту использования отпуска и обратно</t>
  </si>
  <si>
    <t>суточные при служебных командировках и командировках на курсы повышения квалификации</t>
  </si>
  <si>
    <t>потребление электроэнергии</t>
  </si>
  <si>
    <t>водоснабжение</t>
  </si>
  <si>
    <t>прочих расходных материалов и предметов снабжения</t>
  </si>
  <si>
    <t>Увеличение стоимости материальных запасов - ГСМ</t>
  </si>
  <si>
    <t>Коммун. услуги в потребление тепловой энергии</t>
  </si>
  <si>
    <t>02030013600500212010</t>
  </si>
  <si>
    <t>код строки</t>
  </si>
  <si>
    <t>2</t>
  </si>
  <si>
    <t>07094529900001310000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</si>
  <si>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</si>
  <si>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</si>
  <si>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</si>
  <si>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Код источника финансирования
по КИВФ, КИВнФ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</si>
  <si>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</si>
  <si>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</si>
  <si>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</si>
  <si>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</si>
  <si>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</si>
  <si>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</si>
  <si>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</si>
  <si>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</si>
  <si>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</si>
  <si>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</si>
  <si>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</si>
  <si>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</si>
  <si>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</si>
  <si>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</si>
  <si>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</si>
  <si>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</si>
  <si>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</si>
  <si>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</si>
  <si>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</si>
  <si>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</si>
  <si>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</si>
  <si>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</si>
  <si>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</si>
  <si>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</si>
  <si>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Глава администрации</t>
  </si>
  <si>
    <t>Главный бухгалтер</t>
  </si>
  <si>
    <t>А.Н. Саенко</t>
  </si>
  <si>
    <t>01040020460500310000</t>
  </si>
  <si>
    <t>03145224891500310000</t>
  </si>
  <si>
    <t>03149224801500310000</t>
  </si>
  <si>
    <t>СВОД</t>
  </si>
  <si>
    <t>211010</t>
  </si>
  <si>
    <t>211020</t>
  </si>
  <si>
    <t>212010</t>
  </si>
  <si>
    <t>212020</t>
  </si>
  <si>
    <t>213010</t>
  </si>
  <si>
    <t>213020</t>
  </si>
  <si>
    <t>222000</t>
  </si>
  <si>
    <t>223010</t>
  </si>
  <si>
    <t>223020</t>
  </si>
  <si>
    <t>223030</t>
  </si>
  <si>
    <t>225020</t>
  </si>
  <si>
    <t>290000</t>
  </si>
  <si>
    <t>310000</t>
  </si>
  <si>
    <t>340030</t>
  </si>
  <si>
    <t>340050</t>
  </si>
  <si>
    <t>251000</t>
  </si>
  <si>
    <t>итого  213</t>
  </si>
  <si>
    <t>итого 211</t>
  </si>
  <si>
    <t>итого 212</t>
  </si>
  <si>
    <t>итого 223</t>
  </si>
  <si>
    <t>итого 340</t>
  </si>
  <si>
    <t>итого 213</t>
  </si>
  <si>
    <t>О.Н. Башкирова</t>
  </si>
  <si>
    <t>05036000500500225020</t>
  </si>
  <si>
    <t>01020020300500212010</t>
  </si>
  <si>
    <t>01028770101500211010</t>
  </si>
  <si>
    <t>01028770101500213010</t>
  </si>
  <si>
    <t>01028770101500213020</t>
  </si>
  <si>
    <t>01020000000500211010</t>
  </si>
  <si>
    <t>01020000000500212010</t>
  </si>
  <si>
    <t>01020000000500213010</t>
  </si>
  <si>
    <t>01020000000500213020</t>
  </si>
  <si>
    <t>Итого 0102 8770101:</t>
  </si>
  <si>
    <t>01048770101500211010</t>
  </si>
  <si>
    <t>01048770101500213010</t>
  </si>
  <si>
    <t>01048770101500213020</t>
  </si>
  <si>
    <t>ВСЕГО по разделу 01 02</t>
  </si>
  <si>
    <t>СВОД 0102</t>
  </si>
  <si>
    <t>08014409201001241021</t>
  </si>
  <si>
    <t xml:space="preserve"> - страховые взносы в федеральный бюджет (22%)</t>
  </si>
  <si>
    <t xml:space="preserve"> - страховые взносы в прочие фонды (8,2%)</t>
  </si>
  <si>
    <t>Прочих расходных материалов и предметов снабжения</t>
  </si>
  <si>
    <t>241000</t>
  </si>
  <si>
    <t>225010</t>
  </si>
  <si>
    <t>Прочие расходы (Резервный фонд)</t>
  </si>
  <si>
    <t>04070700400013226000</t>
  </si>
  <si>
    <t>с 01.10.2012</t>
  </si>
  <si>
    <t>01045226202500225020</t>
  </si>
  <si>
    <t>01047956015500225020</t>
  </si>
  <si>
    <t>04070700400013340030</t>
  </si>
  <si>
    <t>04070700400013340050</t>
  </si>
  <si>
    <t>ВСЕГО 0407</t>
  </si>
  <si>
    <t>01028650000500211010</t>
  </si>
  <si>
    <t>01028650000500213010</t>
  </si>
  <si>
    <t>01028650000500213020</t>
  </si>
  <si>
    <t>Итого 0102 8650000:</t>
  </si>
  <si>
    <t>Итого 0104 8770101500:</t>
  </si>
  <si>
    <t>прочие</t>
  </si>
  <si>
    <t>0310</t>
  </si>
  <si>
    <t>01130447514244310000</t>
  </si>
  <si>
    <t>02030445118122226000</t>
  </si>
  <si>
    <t>02030445118244310000</t>
  </si>
  <si>
    <t>08010110061611241023</t>
  </si>
  <si>
    <t>08010110061611241120</t>
  </si>
  <si>
    <t>08010120061611241082</t>
  </si>
  <si>
    <t>08010120061611241120</t>
  </si>
  <si>
    <t>01040410021852310000</t>
  </si>
  <si>
    <t xml:space="preserve">Прочие услуги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</si>
  <si>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</si>
  <si>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</si>
  <si>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</si>
  <si>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</si>
  <si>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</si>
  <si>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</si>
  <si>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0409</t>
  </si>
  <si>
    <t>НАЦИОНАЛЬНАЯ БЕЗОПАСНОСТЬ И ПРАВООХРАНИТЕЛЬНАЯ ДЕЯТЕЛЬНОСТЬ</t>
  </si>
  <si>
    <t>Обеспечение пожарной безопасности</t>
  </si>
  <si>
    <t>Оплата работ, услуг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</si>
  <si>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</si>
  <si>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</si>
  <si>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</si>
  <si>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</si>
  <si>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</si>
  <si>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Другие вопросы в области культуры, кинематографии</t>
  </si>
  <si>
    <t>Поступление нефинансовых активов</t>
  </si>
  <si>
    <t>Оплата труда и начисления на выплаты по оплате труда</t>
  </si>
  <si>
    <t>Начисления на выплаты по оплате труда</t>
  </si>
  <si>
    <t>Прочие выплаты</t>
  </si>
  <si>
    <t xml:space="preserve">000 0503 0000000 000 220 </t>
  </si>
  <si>
    <t xml:space="preserve">000 0503 0000000 000 000 </t>
  </si>
  <si>
    <t xml:space="preserve">000 0500 0000000 000 000 </t>
  </si>
  <si>
    <t xml:space="preserve">000 0800 0000000 000 000 </t>
  </si>
  <si>
    <t xml:space="preserve">000 0804 0000000 000 000 </t>
  </si>
  <si>
    <t xml:space="preserve">000 0804 0000000 000 210 </t>
  </si>
  <si>
    <t xml:space="preserve">000 0104 0000000 000 220 </t>
  </si>
  <si>
    <t>Увеличение стоимости материальных запасов</t>
  </si>
  <si>
    <t>Обеспечение деятельности (оказание услуг) подведомственных учреждений в рамках подпрограммы "  "Создание уловий для организации досуга и обеспечение жителей сельсовета услугами организации культуры" муниципальной программы  "Развитие культуры  муниципального образования Недокурский  сельсовет" на 2014-2016 годы</t>
  </si>
  <si>
    <t>Обеспечение деятельности (оказание услуг) подведомственных учреждений в рамках подпрограммы    "Организация  и развитие  библиотечного обслуживания населения,  обеспечение  прав граждан на свободный доступ к информации" муниципальной программы"Развитие культуры  муниципального  образования Недокурский сельсовет "на 2014-2016 годы</t>
  </si>
  <si>
    <t>Культура</t>
  </si>
  <si>
    <t>0801</t>
  </si>
  <si>
    <t>Резервный фонд</t>
  </si>
  <si>
    <t>0111</t>
  </si>
  <si>
    <t>0113</t>
  </si>
  <si>
    <t>02</t>
  </si>
  <si>
    <t>0203</t>
  </si>
  <si>
    <t>03</t>
  </si>
  <si>
    <t>04</t>
  </si>
  <si>
    <t>Физическая культура и спорт</t>
  </si>
  <si>
    <t>Массовый спорт</t>
  </si>
  <si>
    <t>1102</t>
  </si>
  <si>
    <t>11</t>
  </si>
  <si>
    <t>0104</t>
  </si>
  <si>
    <t>0102</t>
  </si>
  <si>
    <t>01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</si>
  <si>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на 2014-2016 годы муниципальной программы «Улучшение жизнедеятельности населения муниципального образования Недокурский сельсовет» на 2014-2016 годы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</si>
  <si>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(в области градостроительной деятельности)"  в рамках непрограмных расходов</t>
  </si>
  <si>
    <t>Увеличение стоимости материальных запасов (прочих расходных материалов и предметов снабжения)</t>
  </si>
  <si>
    <t>0102 0410022 121 211010</t>
  </si>
  <si>
    <t>0102 0410022 121 213010</t>
  </si>
  <si>
    <t>0102 0410022 121 213020</t>
  </si>
  <si>
    <t>0104 0410021 121 211010</t>
  </si>
  <si>
    <t>0104 0410021 121 211020</t>
  </si>
  <si>
    <t>0104 0410021 122 212010</t>
  </si>
  <si>
    <t>0104 0410021 122 212020</t>
  </si>
  <si>
    <t>0104 0410021 121 213010</t>
  </si>
  <si>
    <t>0104 0410021 121 213020</t>
  </si>
  <si>
    <t>0104 0410021 122 222000</t>
  </si>
  <si>
    <t>0104 0410021 244 222000</t>
  </si>
  <si>
    <t>0104 0410021 244 223010</t>
  </si>
  <si>
    <t>0104 0410021 244 223020</t>
  </si>
  <si>
    <t>0104 0410021 244 223030</t>
  </si>
  <si>
    <t>0104 0410021 244 225020</t>
  </si>
  <si>
    <t>0104 0410021 244 290000</t>
  </si>
  <si>
    <t>0104 0410021 244 340030</t>
  </si>
  <si>
    <t>0104 0410021 244 340050</t>
  </si>
  <si>
    <t>0104 0410021 852 290000</t>
  </si>
  <si>
    <t>0104 0424101 540 251000</t>
  </si>
  <si>
    <t>0111 0431011 870 290000</t>
  </si>
  <si>
    <t>0113 0447514 244 340050</t>
  </si>
  <si>
    <t>0203 0445118 121 211010</t>
  </si>
  <si>
    <t>0203 0445118 122 212020</t>
  </si>
  <si>
    <t>0203 0445118 121 213010</t>
  </si>
  <si>
    <t>0203 0445118 121 213020</t>
  </si>
  <si>
    <t>0203 0445118 122 222000</t>
  </si>
  <si>
    <t>0203 0445118 244 225020</t>
  </si>
  <si>
    <t>0203 0445118 244 340050</t>
  </si>
  <si>
    <t>0409 0327508 244 225020</t>
  </si>
  <si>
    <t>0503 0334901 244 223020</t>
  </si>
  <si>
    <t>0804 0134403 112 212010</t>
  </si>
  <si>
    <t>0804 0134403 111 211020</t>
  </si>
  <si>
    <t>0804 0134403 112 212020</t>
  </si>
  <si>
    <t>0804 0134403 111 213010</t>
  </si>
  <si>
    <t>0804 0134403 111 213020</t>
  </si>
  <si>
    <t>0804 0134403 112 222000</t>
  </si>
  <si>
    <t>0804 0134403 244 225020</t>
  </si>
  <si>
    <t>0804 0134403 244 340050</t>
  </si>
  <si>
    <t>0801 0110061 611 241021</t>
  </si>
  <si>
    <t>0801 0110061 611 241010</t>
  </si>
  <si>
    <t>0801 0110061 611 241022</t>
  </si>
  <si>
    <t>0801 0110061 611 241031</t>
  </si>
  <si>
    <t>0801 0110061 611 241032</t>
  </si>
  <si>
    <t>0801 0110061 611 241040</t>
  </si>
  <si>
    <t>0801 0110061 611 241050</t>
  </si>
  <si>
    <t>0801 0110061 611 241061</t>
  </si>
  <si>
    <t>0801 0110061 611 241062</t>
  </si>
  <si>
    <t>0801 0110061 611 241063</t>
  </si>
  <si>
    <t>0801 0110061 611 241082</t>
  </si>
  <si>
    <t>0801 0110061 611 241090</t>
  </si>
  <si>
    <t>0801 0110061 611 241110</t>
  </si>
  <si>
    <t>0801 0110061 611 241135</t>
  </si>
  <si>
    <t>0801 0120061 611 241010</t>
  </si>
  <si>
    <t>0801 0120061 611 241021</t>
  </si>
  <si>
    <t>0801 0120061 611 241022</t>
  </si>
  <si>
    <t>0801 0120061 611 241031</t>
  </si>
  <si>
    <t>0801 0120061 611 241032</t>
  </si>
  <si>
    <t>0801 0120061 611 241040</t>
  </si>
  <si>
    <t>0801 0120061 611 241050</t>
  </si>
  <si>
    <t>0801 0120061 611 241090</t>
  </si>
  <si>
    <t>0801 0120061 611 241110</t>
  </si>
  <si>
    <t>0801 0120061 611 241135</t>
  </si>
  <si>
    <t>1102 0200061 611 241010</t>
  </si>
  <si>
    <t>1102 0200061 611 241031</t>
  </si>
  <si>
    <t>1102 0200061 611 241032</t>
  </si>
  <si>
    <t>0104 0344932 244 226010</t>
  </si>
  <si>
    <t>0104 0344936 244 226010</t>
  </si>
  <si>
    <t>0104 0410021 122 226010</t>
  </si>
  <si>
    <t>0104 0410021 244 221010</t>
  </si>
  <si>
    <t>0104 0410021 244 226010</t>
  </si>
  <si>
    <t>0203 0445118 122 226010</t>
  </si>
  <si>
    <t>0203 0445118 244 226010</t>
  </si>
  <si>
    <t>0310 0314931 244 226010</t>
  </si>
  <si>
    <t>0310 0314934 244 226010</t>
  </si>
  <si>
    <t>0409 0324935 244 226010</t>
  </si>
  <si>
    <t>0503 0334905 244 226010</t>
  </si>
  <si>
    <t>0503 0334904 244 226010</t>
  </si>
  <si>
    <t>0804 0134403 112 226010</t>
  </si>
  <si>
    <t>0804 0134403 244 221010</t>
  </si>
  <si>
    <t>0804 0134403 244 226010</t>
  </si>
  <si>
    <t>0409 0324908 244 225020</t>
  </si>
  <si>
    <t>0409 0327508 244 226010</t>
  </si>
  <si>
    <t>226010</t>
  </si>
  <si>
    <t>221010</t>
  </si>
  <si>
    <t>0409 0324933 244 225020</t>
  </si>
  <si>
    <t>0104 0410021</t>
  </si>
  <si>
    <t>Функционирование органов местного самоуправления</t>
  </si>
  <si>
    <t xml:space="preserve"> 0102 0000000 000 210 </t>
  </si>
  <si>
    <t>Итого Начисления на выплаты по оплате труда</t>
  </si>
  <si>
    <t>0412 0447466 540 251000</t>
  </si>
  <si>
    <t>0501 0447462 540 251000</t>
  </si>
  <si>
    <t>Субсидия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корпорации-Фонда содействия реформирования ЖКХ и средств краевого бюджета, направляемых на долевое финансирование в рамках непрограммных расходов</t>
  </si>
  <si>
    <t>Субсидия бюджетам муниципальных образований на обеспечение мероприятий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</si>
  <si>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1102 0204506 612 241110</t>
  </si>
  <si>
    <t>1102 0207701 612 241090</t>
  </si>
  <si>
    <t>1102 0207701 612 241110</t>
  </si>
  <si>
    <t>1102 0207701 612 241120</t>
  </si>
  <si>
    <t>0801 0111021 611 241032</t>
  </si>
  <si>
    <t>0801 0121021 611 241010</t>
  </si>
  <si>
    <t>0801 0121021 611 241031</t>
  </si>
  <si>
    <t>0801 0121021 611 241032</t>
  </si>
  <si>
    <t>0801 0120061 611 241082</t>
  </si>
  <si>
    <t>Итого МРОТ</t>
  </si>
  <si>
    <t>1102 0200061 611 241090</t>
  </si>
  <si>
    <t>0104 0444936 244 226010</t>
  </si>
  <si>
    <t>0104 0447502 244 226010</t>
  </si>
  <si>
    <r>
      <rPr>
        <b/>
        <sz val="8"/>
        <rFont val="Times New Roman"/>
        <family val="1"/>
        <charset val="204"/>
      </rPr>
      <t>Непрограмные расходы</t>
    </r>
    <r>
      <rPr>
        <sz val="8"/>
        <rFont val="Times New Roman"/>
        <family val="1"/>
        <charset val="204"/>
      </rPr>
      <t xml:space="preserve">  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Красноярском крае государственной программы Красноярского края "Реформирование и модернизация жилищно коммунального хозяйства и повышение энергетической эффективности"</t>
    </r>
  </si>
  <si>
    <t>0503 0337741 244 226010</t>
  </si>
  <si>
    <t>0503 0334938 244 226010</t>
  </si>
  <si>
    <t>10001050201100000510</t>
  </si>
  <si>
    <t>10001050201100000610</t>
  </si>
  <si>
    <t>02  октября 2014 г.</t>
  </si>
  <si>
    <t>0503 0334905 244 340050</t>
  </si>
</sst>
</file>

<file path=xl/styles.xml><?xml version="1.0" encoding="utf-8"?>
<styleSheet xmlns="http://schemas.openxmlformats.org/spreadsheetml/2006/main">
  <numFmts count="2">
    <numFmt numFmtId="171" formatCode="_-* #,##0.00_$_-;\-* #,##0.00_$_-;_-* &quot;-&quot;??_$_-;_-@_-"/>
    <numFmt numFmtId="172" formatCode="00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9"/>
      <color indexed="53"/>
      <name val="Times New Roman"/>
      <family val="1"/>
      <charset val="204"/>
    </font>
    <font>
      <b/>
      <sz val="9"/>
      <color indexed="53"/>
      <name val="Times New Roman"/>
      <family val="1"/>
      <charset val="204"/>
    </font>
    <font>
      <b/>
      <i/>
      <sz val="9"/>
      <color indexed="5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5">
    <xf numFmtId="0" fontId="0" fillId="0" borderId="0" xfId="0"/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72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" fontId="11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172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left" vertical="top"/>
    </xf>
    <xf numFmtId="4" fontId="11" fillId="0" borderId="2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4" fontId="13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4" fontId="8" fillId="0" borderId="0" xfId="0" applyNumberFormat="1" applyFont="1" applyFill="1" applyAlignment="1">
      <alignment horizontal="right" vertical="top"/>
    </xf>
    <xf numFmtId="0" fontId="15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2" fontId="18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2" fontId="4" fillId="0" borderId="0" xfId="0" applyNumberFormat="1" applyFont="1"/>
    <xf numFmtId="49" fontId="8" fillId="0" borderId="2" xfId="0" applyNumberFormat="1" applyFont="1" applyFill="1" applyBorder="1" applyAlignment="1">
      <alignment horizontal="left" wrapText="1"/>
    </xf>
    <xf numFmtId="4" fontId="0" fillId="0" borderId="0" xfId="0" applyNumberFormat="1"/>
    <xf numFmtId="4" fontId="19" fillId="0" borderId="2" xfId="0" applyNumberFormat="1" applyFont="1" applyFill="1" applyBorder="1" applyAlignment="1">
      <alignment horizontal="right" vertical="top"/>
    </xf>
    <xf numFmtId="2" fontId="20" fillId="0" borderId="0" xfId="0" applyNumberFormat="1" applyFont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left" vertical="top"/>
    </xf>
    <xf numFmtId="4" fontId="21" fillId="0" borderId="2" xfId="0" applyNumberFormat="1" applyFont="1" applyFill="1" applyBorder="1" applyAlignment="1">
      <alignment horizontal="right" vertical="top"/>
    </xf>
    <xf numFmtId="49" fontId="21" fillId="0" borderId="2" xfId="0" applyNumberFormat="1" applyFont="1" applyFill="1" applyBorder="1" applyAlignment="1">
      <alignment horizontal="left" vertical="top" wrapText="1"/>
    </xf>
    <xf numFmtId="172" fontId="22" fillId="0" borderId="2" xfId="0" applyNumberFormat="1" applyFont="1" applyFill="1" applyBorder="1" applyAlignment="1">
      <alignment horizontal="right" vertical="top"/>
    </xf>
    <xf numFmtId="4" fontId="22" fillId="0" borderId="2" xfId="0" applyNumberFormat="1" applyFont="1" applyFill="1" applyBorder="1" applyAlignment="1">
      <alignment horizontal="right" vertical="top"/>
    </xf>
    <xf numFmtId="49" fontId="22" fillId="0" borderId="2" xfId="0" applyNumberFormat="1" applyFont="1" applyFill="1" applyBorder="1" applyAlignment="1">
      <alignment horizontal="left" wrapText="1"/>
    </xf>
    <xf numFmtId="4" fontId="23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 wrapText="1"/>
    </xf>
    <xf numFmtId="4" fontId="8" fillId="0" borderId="2" xfId="1" applyNumberFormat="1" applyFont="1" applyFill="1" applyBorder="1" applyAlignment="1">
      <alignment horizontal="right" vertical="top"/>
    </xf>
    <xf numFmtId="172" fontId="8" fillId="0" borderId="2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172" fontId="11" fillId="0" borderId="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 applyAlignment="1">
      <alignment horizontal="center"/>
    </xf>
    <xf numFmtId="172" fontId="7" fillId="0" borderId="2" xfId="0" applyNumberFormat="1" applyFont="1" applyFill="1" applyBorder="1" applyAlignment="1">
      <alignment horizontal="center" vertical="top"/>
    </xf>
    <xf numFmtId="0" fontId="22" fillId="0" borderId="0" xfId="0" applyFont="1" applyFill="1"/>
    <xf numFmtId="2" fontId="8" fillId="0" borderId="0" xfId="0" applyNumberFormat="1" applyFont="1" applyFill="1"/>
    <xf numFmtId="172" fontId="11" fillId="0" borderId="2" xfId="0" applyNumberFormat="1" applyFont="1" applyFill="1" applyBorder="1" applyAlignment="1">
      <alignment horizontal="right" vertical="top"/>
    </xf>
    <xf numFmtId="0" fontId="11" fillId="0" borderId="0" xfId="0" applyFont="1" applyFill="1"/>
    <xf numFmtId="0" fontId="16" fillId="0" borderId="0" xfId="0" applyFont="1" applyFill="1"/>
    <xf numFmtId="172" fontId="13" fillId="0" borderId="2" xfId="0" applyNumberFormat="1" applyFont="1" applyFill="1" applyBorder="1" applyAlignment="1">
      <alignment horizontal="right" vertical="top"/>
    </xf>
    <xf numFmtId="0" fontId="13" fillId="0" borderId="0" xfId="0" applyFont="1" applyFill="1"/>
    <xf numFmtId="172" fontId="19" fillId="0" borderId="2" xfId="0" applyNumberFormat="1" applyFont="1" applyFill="1" applyBorder="1" applyAlignment="1">
      <alignment horizontal="right" vertical="top"/>
    </xf>
    <xf numFmtId="172" fontId="7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72" fontId="8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2" fontId="8" fillId="0" borderId="0" xfId="0" applyNumberFormat="1" applyFont="1" applyFill="1" applyAlignment="1">
      <alignment horizontal="right" vertical="top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24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vertical="top"/>
    </xf>
    <xf numFmtId="49" fontId="11" fillId="0" borderId="2" xfId="0" applyNumberFormat="1" applyFont="1" applyBorder="1" applyAlignment="1">
      <alignment horizontal="left" wrapText="1"/>
    </xf>
    <xf numFmtId="172" fontId="11" fillId="0" borderId="6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4" fontId="11" fillId="0" borderId="6" xfId="0" applyNumberFormat="1" applyFont="1" applyFill="1" applyBorder="1" applyAlignment="1">
      <alignment horizontal="center" vertical="top"/>
    </xf>
    <xf numFmtId="0" fontId="25" fillId="0" borderId="4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justify"/>
    </xf>
    <xf numFmtId="0" fontId="6" fillId="2" borderId="2" xfId="0" applyFont="1" applyFill="1" applyBorder="1" applyAlignment="1">
      <alignment horizontal="justify" wrapText="1"/>
    </xf>
    <xf numFmtId="49" fontId="13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wrapText="1"/>
    </xf>
    <xf numFmtId="0" fontId="9" fillId="2" borderId="2" xfId="0" applyFont="1" applyFill="1" applyBorder="1" applyAlignment="1">
      <alignment horizontal="justify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6" fillId="2" borderId="2" xfId="0" applyFont="1" applyFill="1" applyBorder="1" applyAlignment="1">
      <alignment horizontal="justify" wrapText="1"/>
    </xf>
    <xf numFmtId="49" fontId="17" fillId="0" borderId="2" xfId="0" applyNumberFormat="1" applyFont="1" applyFill="1" applyBorder="1" applyAlignment="1">
      <alignment horizontal="center" vertical="top"/>
    </xf>
    <xf numFmtId="4" fontId="17" fillId="0" borderId="2" xfId="0" applyNumberFormat="1" applyFont="1" applyFill="1" applyBorder="1" applyAlignment="1">
      <alignment horizontal="right" vertical="top"/>
    </xf>
    <xf numFmtId="49" fontId="8" fillId="0" borderId="3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horizontal="left" wrapText="1"/>
    </xf>
    <xf numFmtId="49" fontId="24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 wrapText="1"/>
    </xf>
    <xf numFmtId="49" fontId="24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172" fontId="2" fillId="0" borderId="8" xfId="0" applyNumberFormat="1" applyFont="1" applyBorder="1" applyAlignment="1">
      <alignment horizontal="center" vertical="top" wrapText="1"/>
    </xf>
    <xf numFmtId="172" fontId="2" fillId="0" borderId="6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view="pageBreakPreview" topLeftCell="A11" zoomScaleNormal="100" zoomScaleSheetLayoutView="100" workbookViewId="0">
      <pane xSplit="3" ySplit="2" topLeftCell="D145" activePane="bottomRight" state="frozen"/>
      <selection activeCell="A11" sqref="A11"/>
      <selection pane="topRight" activeCell="D11" sqref="D11"/>
      <selection pane="bottomLeft" activeCell="A13" sqref="A13"/>
      <selection pane="bottomRight" activeCell="L159" sqref="L159"/>
    </sheetView>
  </sheetViews>
  <sheetFormatPr defaultRowHeight="12"/>
  <cols>
    <col min="1" max="1" width="42.5703125" style="66" customWidth="1"/>
    <col min="2" max="2" width="4.7109375" style="118" customWidth="1"/>
    <col min="3" max="3" width="20.140625" style="67" customWidth="1"/>
    <col min="4" max="4" width="15.7109375" style="68" customWidth="1"/>
    <col min="5" max="5" width="12.7109375" style="68" customWidth="1"/>
    <col min="6" max="6" width="12.7109375" style="68" hidden="1" customWidth="1"/>
    <col min="7" max="8" width="0" style="68" hidden="1" customWidth="1"/>
    <col min="9" max="9" width="14" style="68" customWidth="1"/>
    <col min="10" max="11" width="12.7109375" style="68" customWidth="1"/>
    <col min="12" max="16384" width="9.140625" style="99"/>
  </cols>
  <sheetData>
    <row r="1" spans="1:11" s="30" customFormat="1" ht="30" hidden="1" customHeight="1">
      <c r="C1" s="30" t="s">
        <v>0</v>
      </c>
    </row>
    <row r="2" spans="1:11" s="30" customForma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0" customFormat="1" hidden="1">
      <c r="A3" s="31"/>
      <c r="B3" s="31"/>
      <c r="C3" s="31" t="s">
        <v>1</v>
      </c>
      <c r="D3" s="31"/>
      <c r="E3" s="31"/>
      <c r="F3" s="31"/>
      <c r="G3" s="31"/>
      <c r="H3" s="31"/>
      <c r="I3" s="31"/>
      <c r="J3" s="31"/>
      <c r="K3" s="31"/>
    </row>
    <row r="4" spans="1:11" s="30" customForma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0" customFormat="1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30" customFormat="1" hidden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30" customFormat="1" hidden="1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30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2" t="s">
        <v>14</v>
      </c>
    </row>
    <row r="9" spans="1:11" s="30" customFormat="1">
      <c r="A9" s="31"/>
      <c r="B9" s="31"/>
      <c r="C9" s="31" t="s">
        <v>7</v>
      </c>
      <c r="D9" s="31"/>
      <c r="E9" s="31"/>
      <c r="F9" s="31"/>
      <c r="G9" s="31"/>
      <c r="H9" s="31"/>
      <c r="I9" s="31"/>
      <c r="J9" s="31"/>
    </row>
    <row r="10" spans="1:11" s="97" customFormat="1">
      <c r="A10" s="33"/>
      <c r="B10" s="35"/>
      <c r="C10" s="34"/>
      <c r="D10" s="35"/>
      <c r="E10" s="35"/>
      <c r="F10" s="35"/>
      <c r="G10" s="35"/>
      <c r="H10" s="35"/>
      <c r="I10" s="35"/>
      <c r="J10" s="35"/>
      <c r="K10" s="35"/>
    </row>
    <row r="11" spans="1:11" s="98" customFormat="1" ht="45" customHeight="1">
      <c r="A11" s="154" t="s">
        <v>4</v>
      </c>
      <c r="B11" s="153" t="s">
        <v>36</v>
      </c>
      <c r="C11" s="153" t="s">
        <v>8</v>
      </c>
      <c r="D11" s="153" t="s">
        <v>9</v>
      </c>
      <c r="E11" s="153" t="s">
        <v>10</v>
      </c>
      <c r="F11" s="153" t="s">
        <v>10</v>
      </c>
      <c r="G11" s="36"/>
      <c r="H11" s="36"/>
      <c r="I11" s="153" t="s">
        <v>5</v>
      </c>
      <c r="J11" s="153" t="s">
        <v>6</v>
      </c>
      <c r="K11" s="153"/>
    </row>
    <row r="12" spans="1:11" s="98" customFormat="1" ht="39" customHeight="1">
      <c r="A12" s="154"/>
      <c r="B12" s="153"/>
      <c r="C12" s="153"/>
      <c r="D12" s="153"/>
      <c r="E12" s="153"/>
      <c r="F12" s="153"/>
      <c r="G12" s="36"/>
      <c r="H12" s="36"/>
      <c r="I12" s="153"/>
      <c r="J12" s="36" t="s">
        <v>11</v>
      </c>
      <c r="K12" s="36" t="s">
        <v>12</v>
      </c>
    </row>
    <row r="13" spans="1:11" s="98" customFormat="1">
      <c r="A13" s="36">
        <v>1</v>
      </c>
      <c r="B13" s="36" t="s">
        <v>37</v>
      </c>
      <c r="C13" s="36">
        <v>3</v>
      </c>
      <c r="D13" s="36">
        <v>4</v>
      </c>
      <c r="E13" s="36">
        <v>5</v>
      </c>
      <c r="F13" s="36">
        <v>5</v>
      </c>
      <c r="G13" s="36"/>
      <c r="H13" s="36"/>
      <c r="I13" s="36">
        <v>6</v>
      </c>
      <c r="J13" s="36">
        <v>7</v>
      </c>
      <c r="K13" s="36">
        <v>8</v>
      </c>
    </row>
    <row r="14" spans="1:11" s="98" customFormat="1">
      <c r="A14" s="121" t="s">
        <v>142</v>
      </c>
      <c r="B14" s="36"/>
      <c r="C14" s="119" t="s">
        <v>187</v>
      </c>
      <c r="D14" s="134">
        <f>D15+D24+D86+D98</f>
        <v>4291326.37</v>
      </c>
      <c r="E14" s="134">
        <f t="shared" ref="E14:K14" si="0">E15+E24+E86+E98</f>
        <v>3438666.25</v>
      </c>
      <c r="F14" s="134">
        <f t="shared" si="0"/>
        <v>3294</v>
      </c>
      <c r="G14" s="134">
        <f t="shared" si="0"/>
        <v>0</v>
      </c>
      <c r="H14" s="134">
        <f t="shared" si="0"/>
        <v>0</v>
      </c>
      <c r="I14" s="134">
        <f t="shared" si="0"/>
        <v>2959380.2700000005</v>
      </c>
      <c r="J14" s="134">
        <f t="shared" si="0"/>
        <v>1345817.0999999999</v>
      </c>
      <c r="K14" s="134">
        <f t="shared" si="0"/>
        <v>479285.97999999992</v>
      </c>
    </row>
    <row r="15" spans="1:11" s="120" customFormat="1" ht="36.75" customHeight="1">
      <c r="A15" s="121" t="s">
        <v>143</v>
      </c>
      <c r="B15" s="119"/>
      <c r="C15" s="119" t="s">
        <v>186</v>
      </c>
      <c r="D15" s="134">
        <f>D16</f>
        <v>620428</v>
      </c>
      <c r="E15" s="134">
        <f t="shared" ref="E15:K15" si="1">E16</f>
        <v>465931</v>
      </c>
      <c r="F15" s="134">
        <f t="shared" si="1"/>
        <v>0</v>
      </c>
      <c r="G15" s="134">
        <f t="shared" si="1"/>
        <v>0</v>
      </c>
      <c r="H15" s="134">
        <f t="shared" si="1"/>
        <v>0</v>
      </c>
      <c r="I15" s="134">
        <f t="shared" si="1"/>
        <v>455212.41</v>
      </c>
      <c r="J15" s="134">
        <f t="shared" si="1"/>
        <v>165215.59000000003</v>
      </c>
      <c r="K15" s="134">
        <f t="shared" si="1"/>
        <v>10718.590000000026</v>
      </c>
    </row>
    <row r="16" spans="1:11" s="98" customFormat="1" ht="22.5" customHeight="1">
      <c r="A16" s="124" t="s">
        <v>159</v>
      </c>
      <c r="B16" s="36"/>
      <c r="C16" s="143" t="s">
        <v>279</v>
      </c>
      <c r="D16" s="135">
        <f>D17+D21</f>
        <v>620428</v>
      </c>
      <c r="E16" s="135">
        <f t="shared" ref="E16:K16" si="2">E17+E21</f>
        <v>465931</v>
      </c>
      <c r="F16" s="135">
        <f t="shared" si="2"/>
        <v>0</v>
      </c>
      <c r="G16" s="135">
        <f t="shared" si="2"/>
        <v>0</v>
      </c>
      <c r="H16" s="135">
        <f t="shared" si="2"/>
        <v>0</v>
      </c>
      <c r="I16" s="135">
        <f t="shared" si="2"/>
        <v>455212.41</v>
      </c>
      <c r="J16" s="135">
        <f t="shared" si="2"/>
        <v>165215.59000000003</v>
      </c>
      <c r="K16" s="135">
        <f t="shared" si="2"/>
        <v>10718.590000000026</v>
      </c>
    </row>
    <row r="17" spans="1:11">
      <c r="A17" s="37" t="s">
        <v>26</v>
      </c>
      <c r="B17" s="96"/>
      <c r="C17" s="38" t="s">
        <v>191</v>
      </c>
      <c r="D17" s="95">
        <v>476519</v>
      </c>
      <c r="E17" s="39">
        <v>357241</v>
      </c>
      <c r="F17" s="39"/>
      <c r="G17" s="39"/>
      <c r="H17" s="39"/>
      <c r="I17" s="39">
        <v>346522.41</v>
      </c>
      <c r="J17" s="39">
        <f>D17-I17</f>
        <v>129996.59000000003</v>
      </c>
      <c r="K17" s="39">
        <f>E17-I17</f>
        <v>10718.590000000026</v>
      </c>
    </row>
    <row r="18" spans="1:11" ht="22.5" hidden="1">
      <c r="A18" s="46" t="s">
        <v>28</v>
      </c>
      <c r="B18" s="96"/>
      <c r="C18" s="38" t="s">
        <v>98</v>
      </c>
      <c r="D18" s="39"/>
      <c r="E18" s="39"/>
      <c r="F18" s="39"/>
      <c r="G18" s="39"/>
      <c r="H18" s="39"/>
      <c r="I18" s="39"/>
      <c r="J18" s="39">
        <f>D18-I18</f>
        <v>0</v>
      </c>
      <c r="K18" s="39">
        <f>E18-I18</f>
        <v>0</v>
      </c>
    </row>
    <row r="19" spans="1:11">
      <c r="A19" s="48" t="s">
        <v>113</v>
      </c>
      <c r="B19" s="96"/>
      <c r="C19" s="38" t="s">
        <v>192</v>
      </c>
      <c r="D19" s="39">
        <v>104834</v>
      </c>
      <c r="E19" s="39">
        <f>803+78592</f>
        <v>79395</v>
      </c>
      <c r="F19" s="39"/>
      <c r="G19" s="39"/>
      <c r="H19" s="39"/>
      <c r="I19" s="39">
        <v>79395</v>
      </c>
      <c r="J19" s="39">
        <f>D19-I19</f>
        <v>25439</v>
      </c>
      <c r="K19" s="39">
        <f>E19-I19</f>
        <v>0</v>
      </c>
    </row>
    <row r="20" spans="1:11" ht="14.25" customHeight="1">
      <c r="A20" s="48" t="s">
        <v>114</v>
      </c>
      <c r="B20" s="96"/>
      <c r="C20" s="38" t="s">
        <v>193</v>
      </c>
      <c r="D20" s="39">
        <v>39075</v>
      </c>
      <c r="E20" s="39">
        <v>29295</v>
      </c>
      <c r="F20" s="39"/>
      <c r="G20" s="39"/>
      <c r="H20" s="39"/>
      <c r="I20" s="39">
        <v>29295</v>
      </c>
      <c r="J20" s="39">
        <f>D20-I20</f>
        <v>9780</v>
      </c>
      <c r="K20" s="39">
        <f>E20-I20</f>
        <v>0</v>
      </c>
    </row>
    <row r="21" spans="1:11" s="101" customFormat="1">
      <c r="A21" s="122" t="s">
        <v>160</v>
      </c>
      <c r="B21" s="100"/>
      <c r="C21" s="41"/>
      <c r="D21" s="86">
        <f t="shared" ref="D21:K21" si="3">SUM(D19:D20)</f>
        <v>143909</v>
      </c>
      <c r="E21" s="42">
        <f t="shared" si="3"/>
        <v>108690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108690</v>
      </c>
      <c r="J21" s="42">
        <f t="shared" si="3"/>
        <v>35219</v>
      </c>
      <c r="K21" s="42">
        <f t="shared" si="3"/>
        <v>0</v>
      </c>
    </row>
    <row r="22" spans="1:11" s="101" customFormat="1">
      <c r="A22" s="40"/>
      <c r="B22" s="100"/>
      <c r="C22" s="41"/>
      <c r="D22" s="86"/>
      <c r="E22" s="42"/>
      <c r="F22" s="42"/>
      <c r="G22" s="42"/>
      <c r="H22" s="42"/>
      <c r="I22" s="42"/>
      <c r="J22" s="42"/>
      <c r="K22" s="42"/>
    </row>
    <row r="23" spans="1:11" s="101" customFormat="1" ht="42.75">
      <c r="A23" s="121" t="s">
        <v>144</v>
      </c>
      <c r="B23" s="100"/>
      <c r="C23" s="41" t="s">
        <v>185</v>
      </c>
      <c r="D23" s="42">
        <f>D24+D80+D84</f>
        <v>3679522.37</v>
      </c>
      <c r="E23" s="42">
        <f>E24+E80+E84</f>
        <v>2983435.25</v>
      </c>
      <c r="F23" s="42">
        <f t="shared" ref="F23:K23" si="4">F24+F80+F84</f>
        <v>3294</v>
      </c>
      <c r="G23" s="42">
        <f t="shared" si="4"/>
        <v>0</v>
      </c>
      <c r="H23" s="42">
        <f t="shared" si="4"/>
        <v>0</v>
      </c>
      <c r="I23" s="42">
        <f t="shared" si="4"/>
        <v>2502849.8600000003</v>
      </c>
      <c r="J23" s="42">
        <f t="shared" si="4"/>
        <v>1190543.5099999998</v>
      </c>
      <c r="K23" s="42">
        <f t="shared" si="4"/>
        <v>480585.3899999999</v>
      </c>
    </row>
    <row r="24" spans="1:11" s="102" customFormat="1" ht="24">
      <c r="A24" s="40" t="s">
        <v>278</v>
      </c>
      <c r="B24" s="51"/>
      <c r="C24" s="50" t="s">
        <v>277</v>
      </c>
      <c r="D24" s="45">
        <f>D45+D56+D57+D59+D68+D73+D74+D81</f>
        <v>3663651.37</v>
      </c>
      <c r="E24" s="45">
        <f>E45+E56+E57+E59+E68+E73+E74+E81</f>
        <v>2971032.25</v>
      </c>
      <c r="F24" s="45">
        <f>F45+F56+F57+F59+F68+F73+F74+F81+F84</f>
        <v>3294</v>
      </c>
      <c r="G24" s="45">
        <f>G45+G56+G57+G59+G68+G73+G74+G81+G84</f>
        <v>0</v>
      </c>
      <c r="H24" s="45">
        <f>H45+H56+H57+H59+H68+H73+H74+H81+H84</f>
        <v>0</v>
      </c>
      <c r="I24" s="45">
        <f>I45+I56+I57+I59+I68+I73+I74+I81+I84</f>
        <v>2502849.8600000003</v>
      </c>
      <c r="J24" s="45">
        <f>J45+J56+J57+J59+J68+J73+J74+J81+J84</f>
        <v>1174672.5099999998</v>
      </c>
      <c r="K24" s="45">
        <f>K45+K56+K57+K59+K68+K73+K74+K81</f>
        <v>468182.3899999999</v>
      </c>
    </row>
    <row r="25" spans="1:11" hidden="1">
      <c r="A25" s="37" t="s">
        <v>26</v>
      </c>
      <c r="B25" s="96"/>
      <c r="C25" s="38" t="s">
        <v>126</v>
      </c>
      <c r="D25" s="39"/>
      <c r="E25" s="39"/>
      <c r="F25" s="39"/>
      <c r="G25" s="39"/>
      <c r="H25" s="39"/>
      <c r="I25" s="39"/>
      <c r="J25" s="39">
        <f>D25-I25</f>
        <v>0</v>
      </c>
      <c r="K25" s="39">
        <f>E25-I25</f>
        <v>0</v>
      </c>
    </row>
    <row r="26" spans="1:11" hidden="1">
      <c r="A26" s="48" t="s">
        <v>113</v>
      </c>
      <c r="B26" s="96"/>
      <c r="C26" s="38" t="s">
        <v>127</v>
      </c>
      <c r="D26" s="39"/>
      <c r="E26" s="39"/>
      <c r="F26" s="39"/>
      <c r="G26" s="39"/>
      <c r="H26" s="39"/>
      <c r="I26" s="39"/>
      <c r="J26" s="39">
        <f>D26-I26</f>
        <v>0</v>
      </c>
      <c r="K26" s="39">
        <f>E26-I26</f>
        <v>0</v>
      </c>
    </row>
    <row r="27" spans="1:11" ht="14.25" hidden="1" customHeight="1">
      <c r="A27" s="48" t="s">
        <v>114</v>
      </c>
      <c r="B27" s="96"/>
      <c r="C27" s="38" t="s">
        <v>128</v>
      </c>
      <c r="D27" s="39"/>
      <c r="E27" s="39"/>
      <c r="F27" s="39"/>
      <c r="G27" s="39"/>
      <c r="H27" s="39"/>
      <c r="I27" s="39"/>
      <c r="J27" s="39">
        <f>D27-I27</f>
        <v>0</v>
      </c>
      <c r="K27" s="39">
        <f>E27-I27</f>
        <v>0</v>
      </c>
    </row>
    <row r="28" spans="1:11" s="101" customFormat="1" hidden="1">
      <c r="A28" s="40" t="s">
        <v>90</v>
      </c>
      <c r="B28" s="100"/>
      <c r="C28" s="41"/>
      <c r="D28" s="42">
        <f t="shared" ref="D28:K28" si="5">SUM(D26:D27)</f>
        <v>0</v>
      </c>
      <c r="E28" s="42">
        <f t="shared" si="5"/>
        <v>0</v>
      </c>
      <c r="F28" s="42">
        <f t="shared" si="5"/>
        <v>0</v>
      </c>
      <c r="G28" s="42">
        <f t="shared" si="5"/>
        <v>0</v>
      </c>
      <c r="H28" s="42">
        <f t="shared" si="5"/>
        <v>0</v>
      </c>
      <c r="I28" s="42">
        <f t="shared" si="5"/>
        <v>0</v>
      </c>
      <c r="J28" s="42">
        <f t="shared" si="5"/>
        <v>0</v>
      </c>
      <c r="K28" s="42">
        <f t="shared" si="5"/>
        <v>0</v>
      </c>
    </row>
    <row r="29" spans="1:11" s="102" customFormat="1" hidden="1">
      <c r="A29" s="71" t="s">
        <v>129</v>
      </c>
      <c r="B29" s="51"/>
      <c r="C29" s="38"/>
      <c r="D29" s="45">
        <f>D25+D28</f>
        <v>0</v>
      </c>
      <c r="E29" s="45">
        <f t="shared" ref="E29:K29" si="6">E25+E28</f>
        <v>0</v>
      </c>
      <c r="F29" s="45">
        <f t="shared" si="6"/>
        <v>0</v>
      </c>
      <c r="G29" s="45">
        <f t="shared" si="6"/>
        <v>0</v>
      </c>
      <c r="H29" s="45">
        <f t="shared" si="6"/>
        <v>0</v>
      </c>
      <c r="I29" s="45">
        <f t="shared" si="6"/>
        <v>0</v>
      </c>
      <c r="J29" s="45">
        <f t="shared" si="6"/>
        <v>0</v>
      </c>
      <c r="K29" s="45">
        <f t="shared" si="6"/>
        <v>0</v>
      </c>
    </row>
    <row r="30" spans="1:11" s="102" customFormat="1" hidden="1">
      <c r="A30" s="71"/>
      <c r="B30" s="51"/>
      <c r="C30" s="38"/>
      <c r="D30" s="45"/>
      <c r="E30" s="45"/>
      <c r="F30" s="45"/>
      <c r="G30" s="45"/>
      <c r="H30" s="45"/>
      <c r="I30" s="45"/>
      <c r="J30" s="45"/>
      <c r="K30" s="45"/>
    </row>
    <row r="31" spans="1:11" s="102" customFormat="1" hidden="1">
      <c r="A31" s="71" t="s">
        <v>120</v>
      </c>
      <c r="B31" s="51"/>
      <c r="C31" s="38"/>
      <c r="D31" s="45"/>
      <c r="E31" s="45"/>
      <c r="F31" s="45"/>
      <c r="G31" s="45"/>
      <c r="H31" s="45"/>
      <c r="I31" s="45"/>
      <c r="J31" s="45"/>
      <c r="K31" s="45"/>
    </row>
    <row r="32" spans="1:11" hidden="1">
      <c r="A32" s="37" t="s">
        <v>26</v>
      </c>
      <c r="B32" s="96"/>
      <c r="C32" s="38" t="s">
        <v>99</v>
      </c>
      <c r="D32" s="39"/>
      <c r="E32" s="39"/>
      <c r="F32" s="39"/>
      <c r="G32" s="39"/>
      <c r="H32" s="39"/>
      <c r="I32" s="39"/>
      <c r="J32" s="39">
        <f>D32-I32</f>
        <v>0</v>
      </c>
      <c r="K32" s="39">
        <f>E32-I32</f>
        <v>0</v>
      </c>
    </row>
    <row r="33" spans="1:11" hidden="1">
      <c r="A33" s="48" t="s">
        <v>113</v>
      </c>
      <c r="B33" s="96"/>
      <c r="C33" s="38" t="s">
        <v>100</v>
      </c>
      <c r="D33" s="39"/>
      <c r="E33" s="39"/>
      <c r="F33" s="39"/>
      <c r="G33" s="39"/>
      <c r="H33" s="39"/>
      <c r="I33" s="39"/>
      <c r="J33" s="39">
        <f>D33-I33</f>
        <v>0</v>
      </c>
      <c r="K33" s="39">
        <f>E33-I33</f>
        <v>0</v>
      </c>
    </row>
    <row r="34" spans="1:11" ht="14.25" hidden="1" customHeight="1">
      <c r="A34" s="94" t="s">
        <v>114</v>
      </c>
      <c r="B34" s="96"/>
      <c r="C34" s="38" t="s">
        <v>101</v>
      </c>
      <c r="D34" s="39"/>
      <c r="E34" s="39"/>
      <c r="F34" s="39"/>
      <c r="G34" s="39"/>
      <c r="H34" s="39"/>
      <c r="I34" s="39"/>
      <c r="J34" s="39">
        <f>D34-I34</f>
        <v>0</v>
      </c>
      <c r="K34" s="39">
        <f>E34-I34</f>
        <v>0</v>
      </c>
    </row>
    <row r="35" spans="1:11" s="101" customFormat="1" hidden="1">
      <c r="A35" s="40" t="s">
        <v>90</v>
      </c>
      <c r="B35" s="100"/>
      <c r="C35" s="41"/>
      <c r="D35" s="42">
        <f t="shared" ref="D35:K35" si="7">SUM(D33:D34)</f>
        <v>0</v>
      </c>
      <c r="E35" s="42">
        <f t="shared" si="7"/>
        <v>0</v>
      </c>
      <c r="F35" s="42">
        <f t="shared" si="7"/>
        <v>0</v>
      </c>
      <c r="G35" s="42">
        <f t="shared" si="7"/>
        <v>0</v>
      </c>
      <c r="H35" s="42">
        <f t="shared" si="7"/>
        <v>0</v>
      </c>
      <c r="I35" s="42">
        <f t="shared" si="7"/>
        <v>0</v>
      </c>
      <c r="J35" s="42">
        <f t="shared" si="7"/>
        <v>0</v>
      </c>
      <c r="K35" s="42">
        <f t="shared" si="7"/>
        <v>0</v>
      </c>
    </row>
    <row r="36" spans="1:11" s="102" customFormat="1" hidden="1">
      <c r="A36" s="71" t="s">
        <v>106</v>
      </c>
      <c r="B36" s="51"/>
      <c r="C36" s="44"/>
      <c r="D36" s="45">
        <f t="shared" ref="D36:K36" si="8">D32+D35</f>
        <v>0</v>
      </c>
      <c r="E36" s="45">
        <f t="shared" si="8"/>
        <v>0</v>
      </c>
      <c r="F36" s="45">
        <f t="shared" si="8"/>
        <v>0</v>
      </c>
      <c r="G36" s="45">
        <f t="shared" si="8"/>
        <v>0</v>
      </c>
      <c r="H36" s="45">
        <f t="shared" si="8"/>
        <v>0</v>
      </c>
      <c r="I36" s="45">
        <f t="shared" si="8"/>
        <v>0</v>
      </c>
      <c r="J36" s="45">
        <f t="shared" si="8"/>
        <v>0</v>
      </c>
      <c r="K36" s="45">
        <f t="shared" si="8"/>
        <v>0</v>
      </c>
    </row>
    <row r="37" spans="1:11" s="102" customFormat="1" hidden="1">
      <c r="A37" s="71"/>
      <c r="B37" s="51"/>
      <c r="C37" s="44"/>
      <c r="D37" s="45"/>
      <c r="E37" s="45"/>
      <c r="F37" s="45"/>
      <c r="G37" s="45"/>
      <c r="H37" s="45"/>
      <c r="I37" s="45"/>
      <c r="J37" s="45"/>
      <c r="K37" s="45"/>
    </row>
    <row r="38" spans="1:11" s="102" customFormat="1" hidden="1">
      <c r="A38" s="52" t="s">
        <v>111</v>
      </c>
      <c r="B38" s="51"/>
      <c r="C38" s="44"/>
      <c r="D38" s="45"/>
      <c r="E38" s="45"/>
      <c r="F38" s="45"/>
      <c r="G38" s="45"/>
      <c r="H38" s="45"/>
      <c r="I38" s="45"/>
      <c r="J38" s="45"/>
      <c r="K38" s="45"/>
    </row>
    <row r="39" spans="1:11" hidden="1">
      <c r="A39" s="37" t="s">
        <v>26</v>
      </c>
      <c r="B39" s="96"/>
      <c r="C39" s="38" t="s">
        <v>102</v>
      </c>
      <c r="D39" s="39">
        <f t="shared" ref="D39:I39" si="9">D17+D25+D32</f>
        <v>476519</v>
      </c>
      <c r="E39" s="39">
        <f t="shared" si="9"/>
        <v>357241</v>
      </c>
      <c r="F39" s="39">
        <f t="shared" si="9"/>
        <v>0</v>
      </c>
      <c r="G39" s="39">
        <f t="shared" si="9"/>
        <v>0</v>
      </c>
      <c r="H39" s="39">
        <f t="shared" si="9"/>
        <v>0</v>
      </c>
      <c r="I39" s="39">
        <f t="shared" si="9"/>
        <v>346522.41</v>
      </c>
      <c r="J39" s="39">
        <f>D39-I39</f>
        <v>129996.59000000003</v>
      </c>
      <c r="K39" s="39">
        <f>E39-I39</f>
        <v>10718.590000000026</v>
      </c>
    </row>
    <row r="40" spans="1:11" ht="22.5" hidden="1">
      <c r="A40" s="46" t="s">
        <v>28</v>
      </c>
      <c r="B40" s="96"/>
      <c r="C40" s="38" t="s">
        <v>103</v>
      </c>
      <c r="D40" s="39">
        <f t="shared" ref="D40:I40" si="10">D18</f>
        <v>0</v>
      </c>
      <c r="E40" s="39">
        <f t="shared" si="10"/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>D40-I40</f>
        <v>0</v>
      </c>
      <c r="K40" s="39">
        <f>E40-I40</f>
        <v>0</v>
      </c>
    </row>
    <row r="41" spans="1:11" hidden="1">
      <c r="A41" s="48" t="s">
        <v>113</v>
      </c>
      <c r="B41" s="96"/>
      <c r="C41" s="38" t="s">
        <v>104</v>
      </c>
      <c r="D41" s="39">
        <f t="shared" ref="D41:I42" si="11">D19+D26+D33</f>
        <v>104834</v>
      </c>
      <c r="E41" s="39">
        <f t="shared" si="11"/>
        <v>79395</v>
      </c>
      <c r="F41" s="39">
        <f t="shared" si="11"/>
        <v>0</v>
      </c>
      <c r="G41" s="39">
        <f t="shared" si="11"/>
        <v>0</v>
      </c>
      <c r="H41" s="39">
        <f t="shared" si="11"/>
        <v>0</v>
      </c>
      <c r="I41" s="39">
        <f t="shared" si="11"/>
        <v>79395</v>
      </c>
      <c r="J41" s="39">
        <f>D41-I41</f>
        <v>25439</v>
      </c>
      <c r="K41" s="39">
        <f>E41-I41</f>
        <v>0</v>
      </c>
    </row>
    <row r="42" spans="1:11" ht="14.25" hidden="1" customHeight="1">
      <c r="A42" s="48" t="s">
        <v>114</v>
      </c>
      <c r="B42" s="96"/>
      <c r="C42" s="38" t="s">
        <v>105</v>
      </c>
      <c r="D42" s="39">
        <f t="shared" si="11"/>
        <v>39075</v>
      </c>
      <c r="E42" s="39">
        <f t="shared" si="11"/>
        <v>29295</v>
      </c>
      <c r="F42" s="39">
        <f t="shared" si="11"/>
        <v>0</v>
      </c>
      <c r="G42" s="39">
        <f t="shared" si="11"/>
        <v>0</v>
      </c>
      <c r="H42" s="39">
        <f t="shared" si="11"/>
        <v>0</v>
      </c>
      <c r="I42" s="39">
        <f t="shared" si="11"/>
        <v>29295</v>
      </c>
      <c r="J42" s="39">
        <f>D42-I42</f>
        <v>9780</v>
      </c>
      <c r="K42" s="39">
        <f>E42-I42</f>
        <v>0</v>
      </c>
    </row>
    <row r="43" spans="1:11" s="101" customFormat="1" hidden="1">
      <c r="A43" s="40" t="s">
        <v>90</v>
      </c>
      <c r="B43" s="100"/>
      <c r="C43" s="41"/>
      <c r="D43" s="42">
        <f>SUM(D41:D42)</f>
        <v>143909</v>
      </c>
      <c r="E43" s="42">
        <f t="shared" ref="E43:K43" si="12">SUM(E41:E42)</f>
        <v>108690</v>
      </c>
      <c r="F43" s="42">
        <f t="shared" si="12"/>
        <v>0</v>
      </c>
      <c r="G43" s="42">
        <f t="shared" si="12"/>
        <v>0</v>
      </c>
      <c r="H43" s="42">
        <f t="shared" si="12"/>
        <v>0</v>
      </c>
      <c r="I43" s="42">
        <f t="shared" si="12"/>
        <v>108690</v>
      </c>
      <c r="J43" s="42">
        <f t="shared" si="12"/>
        <v>35219</v>
      </c>
      <c r="K43" s="42">
        <f t="shared" si="12"/>
        <v>0</v>
      </c>
    </row>
    <row r="44" spans="1:11" s="102" customFormat="1" hidden="1">
      <c r="A44" s="52" t="s">
        <v>110</v>
      </c>
      <c r="B44" s="51"/>
      <c r="C44" s="44"/>
      <c r="D44" s="45">
        <f>D39+D43+D40</f>
        <v>620428</v>
      </c>
      <c r="E44" s="45">
        <f t="shared" ref="E44:K44" si="13">E39+E43+E40</f>
        <v>465931</v>
      </c>
      <c r="F44" s="45">
        <f t="shared" si="13"/>
        <v>0</v>
      </c>
      <c r="G44" s="45">
        <f t="shared" si="13"/>
        <v>0</v>
      </c>
      <c r="H44" s="45">
        <f t="shared" si="13"/>
        <v>0</v>
      </c>
      <c r="I44" s="45">
        <f t="shared" si="13"/>
        <v>455212.41</v>
      </c>
      <c r="J44" s="45">
        <f t="shared" si="13"/>
        <v>165215.59000000003</v>
      </c>
      <c r="K44" s="45">
        <f t="shared" si="13"/>
        <v>10718.590000000026</v>
      </c>
    </row>
    <row r="45" spans="1:11" s="102" customFormat="1">
      <c r="A45" s="122" t="s">
        <v>159</v>
      </c>
      <c r="B45" s="51"/>
      <c r="C45" s="44"/>
      <c r="D45" s="45">
        <f>D48+D51+D54</f>
        <v>2042061</v>
      </c>
      <c r="E45" s="45">
        <f t="shared" ref="E45:K45" si="14">E48+E51+E54</f>
        <v>1540360.08</v>
      </c>
      <c r="F45" s="45">
        <f t="shared" si="14"/>
        <v>0</v>
      </c>
      <c r="G45" s="45">
        <f t="shared" si="14"/>
        <v>0</v>
      </c>
      <c r="H45" s="45">
        <f t="shared" si="14"/>
        <v>0</v>
      </c>
      <c r="I45" s="45">
        <f t="shared" si="14"/>
        <v>1341484.58</v>
      </c>
      <c r="J45" s="45">
        <f t="shared" si="14"/>
        <v>700576.41999999993</v>
      </c>
      <c r="K45" s="45">
        <f t="shared" si="14"/>
        <v>198875.49999999994</v>
      </c>
    </row>
    <row r="46" spans="1:11">
      <c r="A46" s="37" t="s">
        <v>16</v>
      </c>
      <c r="B46" s="96"/>
      <c r="C46" s="38" t="s">
        <v>194</v>
      </c>
      <c r="D46" s="39">
        <v>775632</v>
      </c>
      <c r="E46" s="39">
        <f>574829+2883.08</f>
        <v>577712.07999999996</v>
      </c>
      <c r="F46" s="39"/>
      <c r="G46" s="39"/>
      <c r="H46" s="39"/>
      <c r="I46" s="39">
        <v>576230.17000000004</v>
      </c>
      <c r="J46" s="39">
        <f>D46-I46</f>
        <v>199401.82999999996</v>
      </c>
      <c r="K46" s="39">
        <f>E46-I46</f>
        <v>1481.9099999999162</v>
      </c>
    </row>
    <row r="47" spans="1:11">
      <c r="A47" s="37" t="s">
        <v>27</v>
      </c>
      <c r="B47" s="96"/>
      <c r="C47" s="38" t="s">
        <v>195</v>
      </c>
      <c r="D47" s="39">
        <f>788186-285-25853</f>
        <v>762048</v>
      </c>
      <c r="E47" s="39">
        <f>597260-285</f>
        <v>596975</v>
      </c>
      <c r="F47" s="39"/>
      <c r="G47" s="39"/>
      <c r="H47" s="39"/>
      <c r="I47" s="39">
        <v>458607.72</v>
      </c>
      <c r="J47" s="39">
        <f>D47-I47</f>
        <v>303440.28000000003</v>
      </c>
      <c r="K47" s="39">
        <f>E47-I47</f>
        <v>138367.28000000003</v>
      </c>
    </row>
    <row r="48" spans="1:11" s="101" customFormat="1">
      <c r="A48" s="40" t="s">
        <v>91</v>
      </c>
      <c r="B48" s="100"/>
      <c r="C48" s="41"/>
      <c r="D48" s="42">
        <f t="shared" ref="D48:K48" si="15">SUM(D46:D47)</f>
        <v>1537680</v>
      </c>
      <c r="E48" s="42">
        <f t="shared" si="15"/>
        <v>1174687.08</v>
      </c>
      <c r="F48" s="42">
        <f t="shared" si="15"/>
        <v>0</v>
      </c>
      <c r="G48" s="42">
        <f t="shared" si="15"/>
        <v>0</v>
      </c>
      <c r="H48" s="42">
        <f t="shared" si="15"/>
        <v>0</v>
      </c>
      <c r="I48" s="42">
        <f t="shared" si="15"/>
        <v>1034837.89</v>
      </c>
      <c r="J48" s="42">
        <f t="shared" si="15"/>
        <v>502842.11</v>
      </c>
      <c r="K48" s="42">
        <f t="shared" si="15"/>
        <v>139849.18999999994</v>
      </c>
    </row>
    <row r="49" spans="1:11" ht="23.25" customHeight="1">
      <c r="A49" s="46" t="s">
        <v>28</v>
      </c>
      <c r="B49" s="96"/>
      <c r="C49" s="38" t="s">
        <v>196</v>
      </c>
      <c r="D49" s="39">
        <f>23108-11000</f>
        <v>12108</v>
      </c>
      <c r="E49" s="39">
        <v>12108</v>
      </c>
      <c r="F49" s="39"/>
      <c r="G49" s="39"/>
      <c r="H49" s="39"/>
      <c r="I49" s="39">
        <v>0</v>
      </c>
      <c r="J49" s="39">
        <f>D49-I49</f>
        <v>12108</v>
      </c>
      <c r="K49" s="39">
        <f>E49-I49</f>
        <v>12108</v>
      </c>
    </row>
    <row r="50" spans="1:11" ht="22.5">
      <c r="A50" s="46" t="s">
        <v>29</v>
      </c>
      <c r="B50" s="96"/>
      <c r="C50" s="38" t="s">
        <v>197</v>
      </c>
      <c r="D50" s="39">
        <v>20000</v>
      </c>
      <c r="E50" s="39">
        <v>15000</v>
      </c>
      <c r="F50" s="39"/>
      <c r="G50" s="39"/>
      <c r="H50" s="39"/>
      <c r="I50" s="39">
        <v>6250</v>
      </c>
      <c r="J50" s="39">
        <f>D50-I50</f>
        <v>13750</v>
      </c>
      <c r="K50" s="39">
        <f>E50-I50</f>
        <v>8750</v>
      </c>
    </row>
    <row r="51" spans="1:11" s="101" customFormat="1">
      <c r="A51" s="47" t="s">
        <v>161</v>
      </c>
      <c r="B51" s="100"/>
      <c r="C51" s="41"/>
      <c r="D51" s="42">
        <f t="shared" ref="D51:K51" si="16">SUM(D49:D50)</f>
        <v>32108</v>
      </c>
      <c r="E51" s="42">
        <f t="shared" si="16"/>
        <v>27108</v>
      </c>
      <c r="F51" s="42">
        <f t="shared" si="16"/>
        <v>0</v>
      </c>
      <c r="G51" s="42">
        <f t="shared" si="16"/>
        <v>0</v>
      </c>
      <c r="H51" s="42">
        <f t="shared" si="16"/>
        <v>0</v>
      </c>
      <c r="I51" s="42">
        <f t="shared" si="16"/>
        <v>6250</v>
      </c>
      <c r="J51" s="42">
        <f t="shared" si="16"/>
        <v>25858</v>
      </c>
      <c r="K51" s="42">
        <f t="shared" si="16"/>
        <v>20858</v>
      </c>
    </row>
    <row r="52" spans="1:11">
      <c r="A52" s="73" t="s">
        <v>113</v>
      </c>
      <c r="B52" s="96"/>
      <c r="C52" s="38" t="s">
        <v>198</v>
      </c>
      <c r="D52" s="39">
        <v>344040</v>
      </c>
      <c r="E52" s="39">
        <v>246636</v>
      </c>
      <c r="F52" s="39"/>
      <c r="G52" s="39"/>
      <c r="H52" s="39"/>
      <c r="I52" s="39">
        <v>219232</v>
      </c>
      <c r="J52" s="39">
        <f>D52-I52</f>
        <v>124808</v>
      </c>
      <c r="K52" s="39">
        <f>E52-I52</f>
        <v>27404</v>
      </c>
    </row>
    <row r="53" spans="1:11">
      <c r="A53" s="73" t="s">
        <v>114</v>
      </c>
      <c r="B53" s="96"/>
      <c r="C53" s="38" t="s">
        <v>199</v>
      </c>
      <c r="D53" s="39">
        <v>128233</v>
      </c>
      <c r="E53" s="39">
        <v>91929</v>
      </c>
      <c r="F53" s="39"/>
      <c r="G53" s="39"/>
      <c r="H53" s="39"/>
      <c r="I53" s="39">
        <v>81164.69</v>
      </c>
      <c r="J53" s="39">
        <f>D53-I53</f>
        <v>47068.31</v>
      </c>
      <c r="K53" s="39">
        <f>E53-I53</f>
        <v>10764.309999999998</v>
      </c>
    </row>
    <row r="54" spans="1:11" s="101" customFormat="1">
      <c r="A54" s="122" t="s">
        <v>160</v>
      </c>
      <c r="B54" s="100"/>
      <c r="C54" s="41"/>
      <c r="D54" s="42">
        <f t="shared" ref="D54:K54" si="17">SUM(D52:D53)</f>
        <v>472273</v>
      </c>
      <c r="E54" s="42">
        <f t="shared" si="17"/>
        <v>338565</v>
      </c>
      <c r="F54" s="42">
        <f t="shared" si="17"/>
        <v>0</v>
      </c>
      <c r="G54" s="42">
        <f t="shared" si="17"/>
        <v>0</v>
      </c>
      <c r="H54" s="42">
        <f t="shared" si="17"/>
        <v>0</v>
      </c>
      <c r="I54" s="42">
        <f t="shared" si="17"/>
        <v>300396.69</v>
      </c>
      <c r="J54" s="42">
        <f t="shared" si="17"/>
        <v>171876.31</v>
      </c>
      <c r="K54" s="42">
        <f t="shared" si="17"/>
        <v>38168.31</v>
      </c>
    </row>
    <row r="55" spans="1:11" s="101" customFormat="1">
      <c r="A55" s="122"/>
      <c r="B55" s="100"/>
      <c r="C55" s="41"/>
      <c r="D55" s="42"/>
      <c r="E55" s="42"/>
      <c r="F55" s="42"/>
      <c r="G55" s="42"/>
      <c r="H55" s="42"/>
      <c r="I55" s="42"/>
      <c r="J55" s="42"/>
      <c r="K55" s="42"/>
    </row>
    <row r="56" spans="1:11">
      <c r="A56" s="37" t="s">
        <v>18</v>
      </c>
      <c r="B56" s="96"/>
      <c r="C56" s="38" t="s">
        <v>200</v>
      </c>
      <c r="D56" s="39">
        <v>23607</v>
      </c>
      <c r="E56" s="39">
        <v>16606</v>
      </c>
      <c r="F56" s="39"/>
      <c r="G56" s="39"/>
      <c r="H56" s="39"/>
      <c r="I56" s="39">
        <v>6751.7</v>
      </c>
      <c r="J56" s="39">
        <f>D56-I56</f>
        <v>16855.3</v>
      </c>
      <c r="K56" s="39">
        <f>E56-I56</f>
        <v>9854.2999999999993</v>
      </c>
    </row>
    <row r="57" spans="1:11">
      <c r="A57" s="37" t="s">
        <v>21</v>
      </c>
      <c r="B57" s="96"/>
      <c r="C57" s="38" t="s">
        <v>259</v>
      </c>
      <c r="D57" s="39">
        <v>15650</v>
      </c>
      <c r="E57" s="39">
        <v>11525</v>
      </c>
      <c r="F57" s="39"/>
      <c r="G57" s="39"/>
      <c r="H57" s="39"/>
      <c r="I57" s="39">
        <v>3140</v>
      </c>
      <c r="J57" s="39">
        <f>D57-I57</f>
        <v>12510</v>
      </c>
      <c r="K57" s="39">
        <f>E57-I57</f>
        <v>8385</v>
      </c>
    </row>
    <row r="58" spans="1:11">
      <c r="A58" s="37"/>
      <c r="B58" s="96"/>
      <c r="C58" s="125"/>
      <c r="D58" s="39"/>
      <c r="E58" s="39"/>
      <c r="F58" s="39"/>
      <c r="G58" s="39"/>
      <c r="H58" s="39"/>
      <c r="I58" s="39"/>
      <c r="J58" s="39"/>
      <c r="K58" s="39"/>
    </row>
    <row r="59" spans="1:11">
      <c r="A59" s="124" t="s">
        <v>151</v>
      </c>
      <c r="B59" s="96"/>
      <c r="C59" s="142" t="s">
        <v>168</v>
      </c>
      <c r="D59" s="39">
        <f t="shared" ref="D59:K59" si="18">D60+D61+D65+D66+D67</f>
        <v>1411980.37</v>
      </c>
      <c r="E59" s="39">
        <f t="shared" si="18"/>
        <v>1274052.17</v>
      </c>
      <c r="F59" s="39">
        <f t="shared" si="18"/>
        <v>3294</v>
      </c>
      <c r="G59" s="39">
        <f t="shared" si="18"/>
        <v>0</v>
      </c>
      <c r="H59" s="39">
        <f t="shared" si="18"/>
        <v>0</v>
      </c>
      <c r="I59" s="39">
        <f t="shared" si="18"/>
        <v>1047573.7100000001</v>
      </c>
      <c r="J59" s="39">
        <f t="shared" si="18"/>
        <v>364406.65999999992</v>
      </c>
      <c r="K59" s="39">
        <f t="shared" si="18"/>
        <v>226478.46</v>
      </c>
    </row>
    <row r="60" spans="1:11">
      <c r="A60" s="37" t="s">
        <v>17</v>
      </c>
      <c r="B60" s="96"/>
      <c r="C60" s="38" t="s">
        <v>260</v>
      </c>
      <c r="D60" s="39">
        <v>31908</v>
      </c>
      <c r="E60" s="39">
        <v>29249</v>
      </c>
      <c r="F60" s="39"/>
      <c r="G60" s="39"/>
      <c r="H60" s="39"/>
      <c r="I60" s="39">
        <f>18112.65+1847.37</f>
        <v>19960.02</v>
      </c>
      <c r="J60" s="39">
        <f>D60-I60</f>
        <v>11947.98</v>
      </c>
      <c r="K60" s="39">
        <f>E60-I60</f>
        <v>9288.98</v>
      </c>
    </row>
    <row r="61" spans="1:11">
      <c r="A61" s="37" t="s">
        <v>18</v>
      </c>
      <c r="B61" s="96"/>
      <c r="C61" s="38" t="s">
        <v>201</v>
      </c>
      <c r="D61" s="39">
        <f>23378-1000</f>
        <v>22378</v>
      </c>
      <c r="E61" s="39">
        <v>22378</v>
      </c>
      <c r="F61" s="39"/>
      <c r="G61" s="39"/>
      <c r="H61" s="39"/>
      <c r="I61" s="39"/>
      <c r="J61" s="39">
        <f>D61-I61</f>
        <v>22378</v>
      </c>
      <c r="K61" s="39">
        <f>E61-I61</f>
        <v>22378</v>
      </c>
    </row>
    <row r="62" spans="1:11">
      <c r="A62" s="37" t="s">
        <v>34</v>
      </c>
      <c r="B62" s="96"/>
      <c r="C62" s="38" t="s">
        <v>202</v>
      </c>
      <c r="D62" s="39">
        <f>960077+137411</f>
        <v>1097488</v>
      </c>
      <c r="E62" s="39">
        <f>745020+54762.4+46172.4+137411</f>
        <v>983365.8</v>
      </c>
      <c r="F62" s="39"/>
      <c r="G62" s="39"/>
      <c r="H62" s="39"/>
      <c r="I62" s="39">
        <v>845954.8</v>
      </c>
      <c r="J62" s="39">
        <f>D62-I62</f>
        <v>251533.19999999995</v>
      </c>
      <c r="K62" s="39">
        <f>E62-I62</f>
        <v>137411</v>
      </c>
    </row>
    <row r="63" spans="1:11">
      <c r="A63" s="37" t="s">
        <v>30</v>
      </c>
      <c r="B63" s="96"/>
      <c r="C63" s="38" t="s">
        <v>203</v>
      </c>
      <c r="D63" s="39">
        <f>99638+7721.37+5000</f>
        <v>112359.37</v>
      </c>
      <c r="E63" s="39">
        <f>107359.37+5000</f>
        <v>112359.37</v>
      </c>
      <c r="F63" s="39"/>
      <c r="G63" s="39"/>
      <c r="H63" s="39"/>
      <c r="I63" s="39">
        <v>85066.880000000005</v>
      </c>
      <c r="J63" s="39">
        <f>D63-I63</f>
        <v>27292.489999999991</v>
      </c>
      <c r="K63" s="39">
        <f>E63-I63</f>
        <v>27292.489999999991</v>
      </c>
    </row>
    <row r="64" spans="1:11" ht="12.75" customHeight="1">
      <c r="A64" s="37" t="s">
        <v>31</v>
      </c>
      <c r="B64" s="96"/>
      <c r="C64" s="38" t="s">
        <v>204</v>
      </c>
      <c r="D64" s="39">
        <v>15313</v>
      </c>
      <c r="E64" s="39">
        <v>14313</v>
      </c>
      <c r="F64" s="39">
        <v>3294</v>
      </c>
      <c r="G64" s="39"/>
      <c r="H64" s="39"/>
      <c r="I64" s="39">
        <v>8040.88</v>
      </c>
      <c r="J64" s="39">
        <f>D64-I64</f>
        <v>7272.12</v>
      </c>
      <c r="K64" s="39">
        <f>E64-I64</f>
        <v>6272.12</v>
      </c>
    </row>
    <row r="65" spans="1:11" s="101" customFormat="1" ht="17.25" customHeight="1">
      <c r="A65" s="124" t="s">
        <v>19</v>
      </c>
      <c r="B65" s="100"/>
      <c r="C65" s="41"/>
      <c r="D65" s="42">
        <f t="shared" ref="D65:K65" si="19">SUM(D62:D64)</f>
        <v>1225160.3700000001</v>
      </c>
      <c r="E65" s="42">
        <f t="shared" si="19"/>
        <v>1110038.17</v>
      </c>
      <c r="F65" s="42">
        <f t="shared" si="19"/>
        <v>3294</v>
      </c>
      <c r="G65" s="42">
        <f t="shared" si="19"/>
        <v>0</v>
      </c>
      <c r="H65" s="42">
        <f t="shared" si="19"/>
        <v>0</v>
      </c>
      <c r="I65" s="42">
        <f t="shared" si="19"/>
        <v>939062.56</v>
      </c>
      <c r="J65" s="42">
        <f t="shared" si="19"/>
        <v>286097.80999999994</v>
      </c>
      <c r="K65" s="42">
        <f t="shared" si="19"/>
        <v>170975.61</v>
      </c>
    </row>
    <row r="66" spans="1:11">
      <c r="A66" s="37" t="s">
        <v>20</v>
      </c>
      <c r="B66" s="96"/>
      <c r="C66" s="38" t="s">
        <v>205</v>
      </c>
      <c r="D66" s="39">
        <v>56703</v>
      </c>
      <c r="E66" s="39">
        <v>42527</v>
      </c>
      <c r="F66" s="39"/>
      <c r="G66" s="39"/>
      <c r="H66" s="39"/>
      <c r="I66" s="39">
        <v>25575.599999999999</v>
      </c>
      <c r="J66" s="39">
        <f t="shared" ref="J66:J72" si="20">D66-I66</f>
        <v>31127.4</v>
      </c>
      <c r="K66" s="39">
        <f t="shared" ref="K66:K72" si="21">E66-I66</f>
        <v>16951.400000000001</v>
      </c>
    </row>
    <row r="67" spans="1:11">
      <c r="A67" s="37" t="s">
        <v>21</v>
      </c>
      <c r="B67" s="96"/>
      <c r="C67" s="38" t="s">
        <v>261</v>
      </c>
      <c r="D67" s="39">
        <f>49978+25853</f>
        <v>75831</v>
      </c>
      <c r="E67" s="39">
        <f>25853+44007</f>
        <v>69860</v>
      </c>
      <c r="F67" s="39"/>
      <c r="G67" s="39"/>
      <c r="H67" s="39"/>
      <c r="I67" s="39">
        <v>62975.53</v>
      </c>
      <c r="J67" s="39">
        <f t="shared" si="20"/>
        <v>12855.470000000001</v>
      </c>
      <c r="K67" s="39">
        <f t="shared" si="21"/>
        <v>6884.4700000000012</v>
      </c>
    </row>
    <row r="68" spans="1:11">
      <c r="A68" s="37" t="s">
        <v>22</v>
      </c>
      <c r="B68" s="96"/>
      <c r="C68" s="38" t="s">
        <v>206</v>
      </c>
      <c r="D68" s="39">
        <v>7616</v>
      </c>
      <c r="E68" s="39">
        <v>873</v>
      </c>
      <c r="F68" s="39"/>
      <c r="G68" s="39"/>
      <c r="H68" s="39"/>
      <c r="I68" s="39">
        <v>278.5</v>
      </c>
      <c r="J68" s="39">
        <f t="shared" si="20"/>
        <v>7337.5</v>
      </c>
      <c r="K68" s="39">
        <f t="shared" si="21"/>
        <v>594.5</v>
      </c>
    </row>
    <row r="69" spans="1:11" hidden="1">
      <c r="A69" s="37" t="s">
        <v>23</v>
      </c>
      <c r="B69" s="96"/>
      <c r="C69" s="38" t="s">
        <v>70</v>
      </c>
      <c r="D69" s="39"/>
      <c r="E69" s="39"/>
      <c r="F69" s="39"/>
      <c r="G69" s="39"/>
      <c r="H69" s="39"/>
      <c r="I69" s="39"/>
      <c r="J69" s="39">
        <f t="shared" si="20"/>
        <v>0</v>
      </c>
      <c r="K69" s="39">
        <f t="shared" si="21"/>
        <v>0</v>
      </c>
    </row>
    <row r="70" spans="1:11" hidden="1">
      <c r="A70" s="37" t="s">
        <v>23</v>
      </c>
      <c r="B70" s="96"/>
      <c r="C70" s="38" t="s">
        <v>140</v>
      </c>
      <c r="D70" s="39">
        <v>0</v>
      </c>
      <c r="E70" s="39">
        <v>0</v>
      </c>
      <c r="F70" s="39"/>
      <c r="G70" s="39"/>
      <c r="H70" s="39"/>
      <c r="I70" s="39"/>
      <c r="J70" s="39">
        <f>D70-I70</f>
        <v>0</v>
      </c>
      <c r="K70" s="39">
        <f>E70-I70</f>
        <v>0</v>
      </c>
    </row>
    <row r="71" spans="1:11">
      <c r="A71" s="37" t="s">
        <v>33</v>
      </c>
      <c r="B71" s="96"/>
      <c r="C71" s="38" t="s">
        <v>207</v>
      </c>
      <c r="D71" s="39">
        <v>130604</v>
      </c>
      <c r="E71" s="39">
        <v>103453</v>
      </c>
      <c r="F71" s="39"/>
      <c r="G71" s="39"/>
      <c r="H71" s="39"/>
      <c r="I71" s="39">
        <v>96777.02</v>
      </c>
      <c r="J71" s="39">
        <f t="shared" si="20"/>
        <v>33826.979999999996</v>
      </c>
      <c r="K71" s="39">
        <f t="shared" si="21"/>
        <v>6675.9799999999959</v>
      </c>
    </row>
    <row r="72" spans="1:11" ht="25.5" customHeight="1">
      <c r="A72" s="48" t="s">
        <v>190</v>
      </c>
      <c r="B72" s="96"/>
      <c r="C72" s="38" t="s">
        <v>208</v>
      </c>
      <c r="D72" s="39">
        <v>9217</v>
      </c>
      <c r="E72" s="39">
        <v>6912</v>
      </c>
      <c r="F72" s="39"/>
      <c r="G72" s="39"/>
      <c r="H72" s="39"/>
      <c r="I72" s="39">
        <v>4713</v>
      </c>
      <c r="J72" s="39">
        <f t="shared" si="20"/>
        <v>4504</v>
      </c>
      <c r="K72" s="39">
        <f t="shared" si="21"/>
        <v>2199</v>
      </c>
    </row>
    <row r="73" spans="1:11" s="101" customFormat="1" ht="12.75" customHeight="1">
      <c r="A73" s="122" t="s">
        <v>158</v>
      </c>
      <c r="B73" s="100"/>
      <c r="C73" s="41"/>
      <c r="D73" s="42">
        <f>SUM(D71:D72)</f>
        <v>139821</v>
      </c>
      <c r="E73" s="42">
        <f t="shared" ref="E73:K73" si="22">SUM(E71:E72)</f>
        <v>110365</v>
      </c>
      <c r="F73" s="42">
        <f t="shared" si="22"/>
        <v>0</v>
      </c>
      <c r="G73" s="42">
        <f t="shared" si="22"/>
        <v>0</v>
      </c>
      <c r="H73" s="42">
        <f t="shared" si="22"/>
        <v>0</v>
      </c>
      <c r="I73" s="42">
        <f t="shared" si="22"/>
        <v>101490.02</v>
      </c>
      <c r="J73" s="42">
        <f t="shared" si="22"/>
        <v>38330.979999999996</v>
      </c>
      <c r="K73" s="42">
        <f t="shared" si="22"/>
        <v>8874.9799999999959</v>
      </c>
    </row>
    <row r="74" spans="1:11">
      <c r="A74" s="37" t="s">
        <v>22</v>
      </c>
      <c r="B74" s="96"/>
      <c r="C74" s="38" t="s">
        <v>209</v>
      </c>
      <c r="D74" s="39">
        <v>21916</v>
      </c>
      <c r="E74" s="39">
        <v>16251</v>
      </c>
      <c r="F74" s="39"/>
      <c r="G74" s="39"/>
      <c r="H74" s="39"/>
      <c r="I74" s="39">
        <v>2131.35</v>
      </c>
      <c r="J74" s="39">
        <f>D74-I74</f>
        <v>19784.650000000001</v>
      </c>
      <c r="K74" s="39">
        <f>E74-I74</f>
        <v>14119.65</v>
      </c>
    </row>
    <row r="75" spans="1:11">
      <c r="A75" s="37"/>
      <c r="B75" s="96"/>
      <c r="C75" s="38"/>
      <c r="D75" s="39"/>
      <c r="E75" s="39"/>
      <c r="F75" s="39"/>
      <c r="G75" s="39"/>
      <c r="H75" s="39"/>
      <c r="I75" s="39"/>
      <c r="J75" s="39"/>
      <c r="K75" s="39"/>
    </row>
    <row r="76" spans="1:11" ht="116.25" customHeight="1">
      <c r="A76" s="145" t="s">
        <v>298</v>
      </c>
      <c r="B76" s="96"/>
      <c r="C76" s="38"/>
      <c r="D76" s="39">
        <f>D77+D78</f>
        <v>99900</v>
      </c>
      <c r="E76" s="39">
        <f t="shared" ref="E76:K76" si="23">E77+E78</f>
        <v>99900</v>
      </c>
      <c r="F76" s="39">
        <f t="shared" si="23"/>
        <v>0</v>
      </c>
      <c r="G76" s="39">
        <f t="shared" si="23"/>
        <v>0</v>
      </c>
      <c r="H76" s="39">
        <f t="shared" si="23"/>
        <v>0</v>
      </c>
      <c r="I76" s="39">
        <f t="shared" si="23"/>
        <v>1000</v>
      </c>
      <c r="J76" s="39">
        <f t="shared" si="23"/>
        <v>98900</v>
      </c>
      <c r="K76" s="39">
        <f t="shared" si="23"/>
        <v>98900</v>
      </c>
    </row>
    <row r="77" spans="1:11">
      <c r="A77" s="37" t="s">
        <v>21</v>
      </c>
      <c r="B77" s="96"/>
      <c r="C77" s="38" t="s">
        <v>296</v>
      </c>
      <c r="D77" s="39">
        <v>1000</v>
      </c>
      <c r="E77" s="39">
        <v>1000</v>
      </c>
      <c r="F77" s="39"/>
      <c r="G77" s="39"/>
      <c r="H77" s="39"/>
      <c r="I77" s="39">
        <v>1000</v>
      </c>
      <c r="J77" s="39">
        <f>D77-I77</f>
        <v>0</v>
      </c>
      <c r="K77" s="39">
        <f>E77-I77</f>
        <v>0</v>
      </c>
    </row>
    <row r="78" spans="1:11">
      <c r="A78" s="37" t="s">
        <v>21</v>
      </c>
      <c r="B78" s="96"/>
      <c r="C78" s="38" t="s">
        <v>297</v>
      </c>
      <c r="D78" s="39">
        <v>98900</v>
      </c>
      <c r="E78" s="39">
        <v>98900</v>
      </c>
      <c r="F78" s="39"/>
      <c r="G78" s="39"/>
      <c r="H78" s="39"/>
      <c r="I78" s="39"/>
      <c r="J78" s="39">
        <f>D78-I78</f>
        <v>98900</v>
      </c>
      <c r="K78" s="39">
        <f>E78-I78</f>
        <v>98900</v>
      </c>
    </row>
    <row r="79" spans="1:11">
      <c r="A79" s="37"/>
      <c r="B79" s="96"/>
      <c r="C79" s="38"/>
      <c r="D79" s="39"/>
      <c r="E79" s="39"/>
      <c r="F79" s="39"/>
      <c r="G79" s="39"/>
      <c r="H79" s="39"/>
      <c r="I79" s="39"/>
      <c r="J79" s="39"/>
      <c r="K79" s="39"/>
    </row>
    <row r="80" spans="1:11" s="102" customFormat="1" ht="90">
      <c r="A80" s="136" t="s">
        <v>188</v>
      </c>
      <c r="B80" s="51"/>
      <c r="C80" s="44"/>
      <c r="D80" s="45">
        <f>D81+D82</f>
        <v>2000</v>
      </c>
      <c r="E80" s="45">
        <f t="shared" ref="E80:K80" si="24">E81+E82</f>
        <v>2000</v>
      </c>
      <c r="F80" s="45">
        <f t="shared" si="24"/>
        <v>0</v>
      </c>
      <c r="G80" s="45">
        <f t="shared" si="24"/>
        <v>0</v>
      </c>
      <c r="H80" s="45">
        <f t="shared" si="24"/>
        <v>0</v>
      </c>
      <c r="I80" s="45">
        <f t="shared" si="24"/>
        <v>0</v>
      </c>
      <c r="J80" s="45">
        <f t="shared" si="24"/>
        <v>2000</v>
      </c>
      <c r="K80" s="45">
        <f t="shared" si="24"/>
        <v>2000</v>
      </c>
    </row>
    <row r="81" spans="1:12">
      <c r="A81" s="37" t="s">
        <v>21</v>
      </c>
      <c r="B81" s="96"/>
      <c r="C81" s="38" t="s">
        <v>257</v>
      </c>
      <c r="D81" s="39">
        <v>1000</v>
      </c>
      <c r="E81" s="39">
        <v>1000</v>
      </c>
      <c r="F81" s="39"/>
      <c r="G81" s="39"/>
      <c r="H81" s="39"/>
      <c r="I81" s="39">
        <v>0</v>
      </c>
      <c r="J81" s="39">
        <f>D81-I81</f>
        <v>1000</v>
      </c>
      <c r="K81" s="39">
        <f>E81-I81</f>
        <v>1000</v>
      </c>
    </row>
    <row r="82" spans="1:12">
      <c r="A82" s="37" t="s">
        <v>21</v>
      </c>
      <c r="B82" s="96"/>
      <c r="C82" s="38" t="s">
        <v>258</v>
      </c>
      <c r="D82" s="39">
        <v>1000</v>
      </c>
      <c r="E82" s="39">
        <v>1000</v>
      </c>
      <c r="F82" s="39"/>
      <c r="G82" s="39"/>
      <c r="H82" s="39"/>
      <c r="I82" s="39">
        <v>0</v>
      </c>
      <c r="J82" s="39">
        <f>D82-I82</f>
        <v>1000</v>
      </c>
      <c r="K82" s="39">
        <f>E82-I82</f>
        <v>1000</v>
      </c>
    </row>
    <row r="83" spans="1:12" s="102" customFormat="1">
      <c r="A83" s="71"/>
      <c r="B83" s="51"/>
      <c r="C83" s="44"/>
      <c r="D83" s="45"/>
      <c r="E83" s="45"/>
      <c r="F83" s="45"/>
      <c r="G83" s="45"/>
      <c r="H83" s="45"/>
      <c r="I83" s="45"/>
      <c r="J83" s="45"/>
      <c r="K83" s="45"/>
    </row>
    <row r="84" spans="1:12" s="102" customFormat="1" ht="90">
      <c r="A84" s="137" t="s">
        <v>189</v>
      </c>
      <c r="B84" s="51"/>
      <c r="C84" s="44" t="s">
        <v>210</v>
      </c>
      <c r="D84" s="45">
        <v>13871</v>
      </c>
      <c r="E84" s="45">
        <v>10403</v>
      </c>
      <c r="F84" s="45"/>
      <c r="G84" s="45"/>
      <c r="H84" s="45"/>
      <c r="I84" s="45"/>
      <c r="J84" s="39">
        <f>D84-I84</f>
        <v>13871</v>
      </c>
      <c r="K84" s="39">
        <f>E84-I84</f>
        <v>10403</v>
      </c>
      <c r="L84" s="99"/>
    </row>
    <row r="85" spans="1:12" s="102" customFormat="1">
      <c r="A85" s="46"/>
      <c r="B85" s="51"/>
      <c r="C85" s="44"/>
      <c r="D85" s="45"/>
      <c r="E85" s="45"/>
      <c r="F85" s="45"/>
      <c r="G85" s="45"/>
      <c r="H85" s="45"/>
      <c r="I85" s="45"/>
      <c r="J85" s="39"/>
      <c r="K85" s="39"/>
      <c r="L85" s="99"/>
    </row>
    <row r="86" spans="1:12" s="102" customFormat="1">
      <c r="A86" s="131" t="s">
        <v>174</v>
      </c>
      <c r="B86" s="51"/>
      <c r="C86" s="50" t="s">
        <v>175</v>
      </c>
      <c r="D86" s="45">
        <f>D96</f>
        <v>5000</v>
      </c>
      <c r="E86" s="45">
        <f t="shared" ref="E86:K86" si="25">E96</f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5000</v>
      </c>
      <c r="K86" s="45">
        <f t="shared" si="25"/>
        <v>0</v>
      </c>
      <c r="L86" s="99"/>
    </row>
    <row r="87" spans="1:12" s="102" customFormat="1" hidden="1">
      <c r="A87" s="37" t="s">
        <v>21</v>
      </c>
      <c r="B87" s="51"/>
      <c r="C87" s="38" t="s">
        <v>121</v>
      </c>
      <c r="D87" s="39"/>
      <c r="E87" s="39"/>
      <c r="F87" s="45"/>
      <c r="G87" s="45"/>
      <c r="H87" s="45"/>
      <c r="I87" s="39"/>
      <c r="J87" s="39">
        <f>D87-I87</f>
        <v>0</v>
      </c>
      <c r="K87" s="39">
        <f>E87-I87</f>
        <v>0</v>
      </c>
      <c r="L87" s="99"/>
    </row>
    <row r="88" spans="1:12" s="102" customFormat="1" hidden="1">
      <c r="A88" s="37" t="s">
        <v>21</v>
      </c>
      <c r="B88" s="51"/>
      <c r="C88" s="38" t="s">
        <v>122</v>
      </c>
      <c r="D88" s="39"/>
      <c r="E88" s="39"/>
      <c r="F88" s="45"/>
      <c r="G88" s="45"/>
      <c r="H88" s="45"/>
      <c r="I88" s="39"/>
      <c r="J88" s="39">
        <f>D88-I88</f>
        <v>0</v>
      </c>
      <c r="K88" s="39">
        <f>E88-I88</f>
        <v>0</v>
      </c>
      <c r="L88" s="99"/>
    </row>
    <row r="89" spans="1:12" s="102" customFormat="1" hidden="1">
      <c r="A89" s="37"/>
      <c r="B89" s="51"/>
      <c r="C89" s="44"/>
      <c r="D89" s="45">
        <f>SUM(D87:D88)</f>
        <v>0</v>
      </c>
      <c r="E89" s="45">
        <f t="shared" ref="E89:K89" si="26">SUM(E87:E88)</f>
        <v>0</v>
      </c>
      <c r="F89" s="45">
        <f t="shared" si="26"/>
        <v>0</v>
      </c>
      <c r="G89" s="45">
        <f t="shared" si="26"/>
        <v>0</v>
      </c>
      <c r="H89" s="45">
        <f t="shared" si="26"/>
        <v>0</v>
      </c>
      <c r="I89" s="45">
        <f t="shared" si="26"/>
        <v>0</v>
      </c>
      <c r="J89" s="45">
        <f t="shared" si="26"/>
        <v>0</v>
      </c>
      <c r="K89" s="45">
        <f t="shared" si="26"/>
        <v>0</v>
      </c>
      <c r="L89" s="99"/>
    </row>
    <row r="90" spans="1:12" s="102" customFormat="1" hidden="1">
      <c r="A90" s="43"/>
      <c r="B90" s="51"/>
      <c r="C90" s="44"/>
      <c r="D90" s="45"/>
      <c r="E90" s="45"/>
      <c r="F90" s="45"/>
      <c r="G90" s="45"/>
      <c r="H90" s="45"/>
      <c r="I90" s="45"/>
      <c r="J90" s="39"/>
      <c r="K90" s="39"/>
      <c r="L90" s="99"/>
    </row>
    <row r="91" spans="1:12" hidden="1">
      <c r="A91" s="37" t="s">
        <v>26</v>
      </c>
      <c r="B91" s="96"/>
      <c r="C91" s="38" t="s">
        <v>107</v>
      </c>
      <c r="D91" s="39"/>
      <c r="E91" s="39"/>
      <c r="F91" s="39"/>
      <c r="G91" s="39"/>
      <c r="H91" s="39"/>
      <c r="I91" s="39"/>
      <c r="J91" s="39">
        <f>D91-I91</f>
        <v>0</v>
      </c>
      <c r="K91" s="39">
        <f>E91-I91</f>
        <v>0</v>
      </c>
    </row>
    <row r="92" spans="1:12" hidden="1">
      <c r="A92" s="73" t="s">
        <v>113</v>
      </c>
      <c r="B92" s="96"/>
      <c r="C92" s="38" t="s">
        <v>108</v>
      </c>
      <c r="D92" s="39"/>
      <c r="E92" s="39"/>
      <c r="F92" s="39"/>
      <c r="G92" s="39"/>
      <c r="H92" s="39"/>
      <c r="I92" s="39"/>
      <c r="J92" s="39">
        <f>D92-I92</f>
        <v>0</v>
      </c>
      <c r="K92" s="39">
        <f>E92-I92</f>
        <v>0</v>
      </c>
    </row>
    <row r="93" spans="1:12" ht="14.25" hidden="1" customHeight="1">
      <c r="A93" s="73" t="s">
        <v>114</v>
      </c>
      <c r="B93" s="96"/>
      <c r="C93" s="38" t="s">
        <v>109</v>
      </c>
      <c r="D93" s="39"/>
      <c r="E93" s="39"/>
      <c r="F93" s="39"/>
      <c r="G93" s="39"/>
      <c r="H93" s="39"/>
      <c r="I93" s="39"/>
      <c r="J93" s="39">
        <f>D93-I93</f>
        <v>0</v>
      </c>
      <c r="K93" s="39">
        <f>E93-I93</f>
        <v>0</v>
      </c>
    </row>
    <row r="94" spans="1:12" s="101" customFormat="1" hidden="1">
      <c r="A94" s="40" t="s">
        <v>90</v>
      </c>
      <c r="B94" s="100"/>
      <c r="C94" s="41"/>
      <c r="D94" s="42">
        <f t="shared" ref="D94:K94" si="27">SUM(D92:D93)</f>
        <v>0</v>
      </c>
      <c r="E94" s="42">
        <f t="shared" si="27"/>
        <v>0</v>
      </c>
      <c r="F94" s="42">
        <f t="shared" si="27"/>
        <v>0</v>
      </c>
      <c r="G94" s="42">
        <f t="shared" si="27"/>
        <v>0</v>
      </c>
      <c r="H94" s="42">
        <f t="shared" si="27"/>
        <v>0</v>
      </c>
      <c r="I94" s="42">
        <f t="shared" si="27"/>
        <v>0</v>
      </c>
      <c r="J94" s="42">
        <f t="shared" si="27"/>
        <v>0</v>
      </c>
      <c r="K94" s="42">
        <f t="shared" si="27"/>
        <v>0</v>
      </c>
      <c r="L94" s="103"/>
    </row>
    <row r="95" spans="1:12" s="102" customFormat="1" hidden="1">
      <c r="A95" s="71" t="s">
        <v>130</v>
      </c>
      <c r="B95" s="51"/>
      <c r="C95" s="44"/>
      <c r="D95" s="45">
        <f t="shared" ref="D95:K95" si="28">D91+D94</f>
        <v>0</v>
      </c>
      <c r="E95" s="45">
        <f t="shared" si="28"/>
        <v>0</v>
      </c>
      <c r="F95" s="45">
        <f t="shared" si="28"/>
        <v>0</v>
      </c>
      <c r="G95" s="45">
        <f t="shared" si="28"/>
        <v>0</v>
      </c>
      <c r="H95" s="45">
        <f t="shared" si="28"/>
        <v>0</v>
      </c>
      <c r="I95" s="45">
        <f t="shared" si="28"/>
        <v>0</v>
      </c>
      <c r="J95" s="45">
        <f t="shared" si="28"/>
        <v>0</v>
      </c>
      <c r="K95" s="45">
        <f t="shared" si="28"/>
        <v>0</v>
      </c>
      <c r="L95" s="99"/>
    </row>
    <row r="96" spans="1:12" s="102" customFormat="1">
      <c r="A96" s="72" t="s">
        <v>22</v>
      </c>
      <c r="B96" s="51"/>
      <c r="C96" s="44" t="s">
        <v>211</v>
      </c>
      <c r="D96" s="45">
        <v>5000</v>
      </c>
      <c r="E96" s="45">
        <v>0</v>
      </c>
      <c r="F96" s="45"/>
      <c r="G96" s="45"/>
      <c r="H96" s="45"/>
      <c r="I96" s="45">
        <v>0</v>
      </c>
      <c r="J96" s="45">
        <f>D96-I96</f>
        <v>5000</v>
      </c>
      <c r="K96" s="45">
        <f>E96-I96</f>
        <v>0</v>
      </c>
    </row>
    <row r="97" spans="1:11" s="102" customFormat="1">
      <c r="A97" s="72"/>
      <c r="B97" s="51"/>
      <c r="C97" s="44"/>
      <c r="D97" s="45"/>
      <c r="E97" s="45"/>
      <c r="F97" s="45"/>
      <c r="G97" s="45"/>
      <c r="H97" s="45"/>
      <c r="I97" s="45"/>
      <c r="J97" s="45"/>
      <c r="K97" s="45"/>
    </row>
    <row r="98" spans="1:11" s="102" customFormat="1">
      <c r="A98" s="121" t="s">
        <v>145</v>
      </c>
      <c r="B98" s="104"/>
      <c r="C98" s="50" t="s">
        <v>176</v>
      </c>
      <c r="D98" s="45">
        <f>D100</f>
        <v>2247</v>
      </c>
      <c r="E98" s="45">
        <f t="shared" ref="E98:K98" si="29">E100</f>
        <v>1703</v>
      </c>
      <c r="F98" s="45">
        <f t="shared" si="29"/>
        <v>0</v>
      </c>
      <c r="G98" s="45">
        <f t="shared" si="29"/>
        <v>0</v>
      </c>
      <c r="H98" s="45">
        <f t="shared" si="29"/>
        <v>0</v>
      </c>
      <c r="I98" s="45">
        <f t="shared" si="29"/>
        <v>1318</v>
      </c>
      <c r="J98" s="45">
        <f t="shared" si="29"/>
        <v>929</v>
      </c>
      <c r="K98" s="45">
        <f t="shared" si="29"/>
        <v>385</v>
      </c>
    </row>
    <row r="99" spans="1:11" s="102" customFormat="1" hidden="1">
      <c r="A99" s="37" t="s">
        <v>23</v>
      </c>
      <c r="B99" s="104"/>
      <c r="C99" s="38" t="s">
        <v>133</v>
      </c>
      <c r="D99" s="39">
        <v>0</v>
      </c>
      <c r="E99" s="39">
        <v>0</v>
      </c>
      <c r="F99" s="39"/>
      <c r="G99" s="39"/>
      <c r="H99" s="39"/>
      <c r="I99" s="39">
        <v>0</v>
      </c>
      <c r="J99" s="39">
        <f>D99-I99</f>
        <v>0</v>
      </c>
      <c r="K99" s="39">
        <f>E99-I99</f>
        <v>0</v>
      </c>
    </row>
    <row r="100" spans="1:11" s="102" customFormat="1" ht="24">
      <c r="A100" s="69" t="s">
        <v>32</v>
      </c>
      <c r="B100" s="104"/>
      <c r="C100" s="38" t="s">
        <v>212</v>
      </c>
      <c r="D100" s="39">
        <f>2270-23</f>
        <v>2247</v>
      </c>
      <c r="E100" s="39">
        <v>1703</v>
      </c>
      <c r="F100" s="39"/>
      <c r="G100" s="39"/>
      <c r="H100" s="39"/>
      <c r="I100" s="39">
        <v>1318</v>
      </c>
      <c r="J100" s="39">
        <f>D100-I100</f>
        <v>929</v>
      </c>
      <c r="K100" s="39">
        <f>E100-I100</f>
        <v>385</v>
      </c>
    </row>
    <row r="101" spans="1:11" s="102" customFormat="1">
      <c r="A101" s="52"/>
      <c r="B101" s="104"/>
      <c r="C101" s="44"/>
      <c r="D101" s="45"/>
      <c r="E101" s="45"/>
      <c r="F101" s="45"/>
      <c r="G101" s="45"/>
      <c r="H101" s="45"/>
      <c r="I101" s="45"/>
      <c r="J101" s="45"/>
      <c r="K101" s="45"/>
    </row>
    <row r="102" spans="1:11" s="102" customFormat="1">
      <c r="A102" s="121" t="s">
        <v>146</v>
      </c>
      <c r="B102" s="104"/>
      <c r="C102" s="50" t="s">
        <v>177</v>
      </c>
      <c r="D102" s="45">
        <f>D103</f>
        <v>80100</v>
      </c>
      <c r="E102" s="45">
        <f t="shared" ref="E102:K102" si="30">E103</f>
        <v>60075</v>
      </c>
      <c r="F102" s="45">
        <f t="shared" si="30"/>
        <v>0</v>
      </c>
      <c r="G102" s="45">
        <f t="shared" si="30"/>
        <v>0</v>
      </c>
      <c r="H102" s="45">
        <f t="shared" si="30"/>
        <v>0</v>
      </c>
      <c r="I102" s="45">
        <f t="shared" si="30"/>
        <v>46210.97</v>
      </c>
      <c r="J102" s="45">
        <f t="shared" si="30"/>
        <v>33889.03</v>
      </c>
      <c r="K102" s="45">
        <f t="shared" si="30"/>
        <v>13864.029999999999</v>
      </c>
    </row>
    <row r="103" spans="1:11" s="102" customFormat="1">
      <c r="A103" s="121" t="s">
        <v>147</v>
      </c>
      <c r="B103" s="104"/>
      <c r="C103" s="50" t="s">
        <v>178</v>
      </c>
      <c r="D103" s="45">
        <f>D104+D113+D115+D116+D121</f>
        <v>80100</v>
      </c>
      <c r="E103" s="45">
        <f t="shared" ref="E103:K103" si="31">E104+E113+E115+E116+E121</f>
        <v>60075</v>
      </c>
      <c r="F103" s="45">
        <f t="shared" si="31"/>
        <v>0</v>
      </c>
      <c r="G103" s="45">
        <f t="shared" si="31"/>
        <v>0</v>
      </c>
      <c r="H103" s="45">
        <f t="shared" si="31"/>
        <v>0</v>
      </c>
      <c r="I103" s="45">
        <f t="shared" si="31"/>
        <v>46210.97</v>
      </c>
      <c r="J103" s="45">
        <f t="shared" si="31"/>
        <v>33889.03</v>
      </c>
      <c r="K103" s="45">
        <f t="shared" si="31"/>
        <v>13864.029999999999</v>
      </c>
    </row>
    <row r="104" spans="1:11" s="102" customFormat="1">
      <c r="A104" s="122" t="s">
        <v>159</v>
      </c>
      <c r="B104" s="104"/>
      <c r="C104" s="44"/>
      <c r="D104" s="45">
        <f>D105+D107+D111</f>
        <v>60867</v>
      </c>
      <c r="E104" s="45">
        <f t="shared" ref="E104:K104" si="32">E105+E107+E111</f>
        <v>45774</v>
      </c>
      <c r="F104" s="45">
        <f t="shared" si="32"/>
        <v>0</v>
      </c>
      <c r="G104" s="45">
        <f t="shared" si="32"/>
        <v>0</v>
      </c>
      <c r="H104" s="45">
        <f t="shared" si="32"/>
        <v>0</v>
      </c>
      <c r="I104" s="45">
        <f t="shared" si="32"/>
        <v>38893.97</v>
      </c>
      <c r="J104" s="45">
        <f t="shared" si="32"/>
        <v>21973.03</v>
      </c>
      <c r="K104" s="45">
        <f t="shared" si="32"/>
        <v>6880.0299999999988</v>
      </c>
    </row>
    <row r="105" spans="1:11">
      <c r="A105" s="37" t="s">
        <v>16</v>
      </c>
      <c r="B105" s="96"/>
      <c r="C105" s="38" t="s">
        <v>213</v>
      </c>
      <c r="D105" s="39">
        <v>44829</v>
      </c>
      <c r="E105" s="39">
        <v>33621</v>
      </c>
      <c r="F105" s="39"/>
      <c r="G105" s="39"/>
      <c r="H105" s="39"/>
      <c r="I105" s="39">
        <v>29295.97</v>
      </c>
      <c r="J105" s="39">
        <f>D105-I105</f>
        <v>15533.029999999999</v>
      </c>
      <c r="K105" s="39">
        <f>E105-I105</f>
        <v>4325.0299999999988</v>
      </c>
    </row>
    <row r="106" spans="1:11" ht="22.5" hidden="1">
      <c r="A106" s="46" t="s">
        <v>28</v>
      </c>
      <c r="B106" s="96"/>
      <c r="C106" s="38" t="s">
        <v>35</v>
      </c>
      <c r="D106" s="39"/>
      <c r="E106" s="39"/>
      <c r="F106" s="39"/>
      <c r="G106" s="39"/>
      <c r="H106" s="39"/>
      <c r="I106" s="39"/>
      <c r="J106" s="39">
        <f>D106-I106</f>
        <v>0</v>
      </c>
      <c r="K106" s="39">
        <f>E106-I106</f>
        <v>0</v>
      </c>
    </row>
    <row r="107" spans="1:11" ht="22.5">
      <c r="A107" s="46" t="s">
        <v>29</v>
      </c>
      <c r="B107" s="96"/>
      <c r="C107" s="38" t="s">
        <v>214</v>
      </c>
      <c r="D107" s="39">
        <v>2500</v>
      </c>
      <c r="E107" s="39">
        <v>2000</v>
      </c>
      <c r="F107" s="39"/>
      <c r="G107" s="39"/>
      <c r="H107" s="39"/>
      <c r="I107" s="39">
        <v>750</v>
      </c>
      <c r="J107" s="39">
        <f>D107-I107</f>
        <v>1750</v>
      </c>
      <c r="K107" s="39">
        <f>E107-I107</f>
        <v>1250</v>
      </c>
    </row>
    <row r="108" spans="1:11" s="101" customFormat="1" hidden="1">
      <c r="A108" s="47" t="s">
        <v>92</v>
      </c>
      <c r="B108" s="100"/>
      <c r="C108" s="41"/>
      <c r="D108" s="42">
        <f t="shared" ref="D108:K108" si="33">SUM(D106:D107)</f>
        <v>2500</v>
      </c>
      <c r="E108" s="42">
        <f>SUM(E106:E107)</f>
        <v>2000</v>
      </c>
      <c r="F108" s="42">
        <f t="shared" si="33"/>
        <v>0</v>
      </c>
      <c r="G108" s="42">
        <f t="shared" si="33"/>
        <v>0</v>
      </c>
      <c r="H108" s="42">
        <f t="shared" si="33"/>
        <v>0</v>
      </c>
      <c r="I108" s="42">
        <f t="shared" si="33"/>
        <v>750</v>
      </c>
      <c r="J108" s="42">
        <f t="shared" si="33"/>
        <v>1750</v>
      </c>
      <c r="K108" s="42">
        <f t="shared" si="33"/>
        <v>1250</v>
      </c>
    </row>
    <row r="109" spans="1:11">
      <c r="A109" s="73" t="s">
        <v>113</v>
      </c>
      <c r="B109" s="96"/>
      <c r="C109" s="38" t="s">
        <v>215</v>
      </c>
      <c r="D109" s="39">
        <v>9860</v>
      </c>
      <c r="E109" s="39">
        <v>7395</v>
      </c>
      <c r="F109" s="39"/>
      <c r="G109" s="39"/>
      <c r="H109" s="39"/>
      <c r="I109" s="39">
        <f>2172+724+2100+1449</f>
        <v>6445</v>
      </c>
      <c r="J109" s="39">
        <f>D109-I109</f>
        <v>3415</v>
      </c>
      <c r="K109" s="39">
        <f>E109-I109</f>
        <v>950</v>
      </c>
    </row>
    <row r="110" spans="1:11">
      <c r="A110" s="73" t="s">
        <v>114</v>
      </c>
      <c r="B110" s="96"/>
      <c r="C110" s="38" t="s">
        <v>216</v>
      </c>
      <c r="D110" s="39">
        <v>3678</v>
      </c>
      <c r="E110" s="39">
        <v>2758</v>
      </c>
      <c r="F110" s="39"/>
      <c r="G110" s="39"/>
      <c r="H110" s="39"/>
      <c r="I110" s="39">
        <f>2982-2172+168+7+95+19+276+487+13+335+193</f>
        <v>2403</v>
      </c>
      <c r="J110" s="39">
        <f>D110-I110</f>
        <v>1275</v>
      </c>
      <c r="K110" s="39">
        <f>E110-I110</f>
        <v>355</v>
      </c>
    </row>
    <row r="111" spans="1:11" s="101" customFormat="1">
      <c r="A111" s="122" t="s">
        <v>160</v>
      </c>
      <c r="B111" s="100"/>
      <c r="C111" s="41"/>
      <c r="D111" s="42">
        <f t="shared" ref="D111:K111" si="34">SUM(D109:D110)</f>
        <v>13538</v>
      </c>
      <c r="E111" s="42">
        <f t="shared" si="34"/>
        <v>10153</v>
      </c>
      <c r="F111" s="42">
        <f t="shared" si="34"/>
        <v>0</v>
      </c>
      <c r="G111" s="42">
        <f t="shared" si="34"/>
        <v>0</v>
      </c>
      <c r="H111" s="42">
        <f t="shared" si="34"/>
        <v>0</v>
      </c>
      <c r="I111" s="42">
        <f t="shared" si="34"/>
        <v>8848</v>
      </c>
      <c r="J111" s="42">
        <f t="shared" si="34"/>
        <v>4690</v>
      </c>
      <c r="K111" s="42">
        <f t="shared" si="34"/>
        <v>1305</v>
      </c>
    </row>
    <row r="112" spans="1:11" s="101" customFormat="1">
      <c r="A112" s="123"/>
      <c r="B112" s="127"/>
      <c r="C112" s="128"/>
      <c r="D112" s="129"/>
      <c r="E112" s="42"/>
      <c r="F112" s="42"/>
      <c r="G112" s="42"/>
      <c r="H112" s="42"/>
      <c r="I112" s="42"/>
      <c r="J112" s="42"/>
      <c r="K112" s="42"/>
    </row>
    <row r="113" spans="1:11">
      <c r="A113" s="37" t="s">
        <v>21</v>
      </c>
      <c r="B113" s="96"/>
      <c r="C113" s="38" t="s">
        <v>262</v>
      </c>
      <c r="D113" s="39">
        <v>1650</v>
      </c>
      <c r="E113" s="39">
        <v>1238</v>
      </c>
      <c r="F113" s="39"/>
      <c r="G113" s="39"/>
      <c r="H113" s="39"/>
      <c r="I113" s="39">
        <v>0</v>
      </c>
      <c r="J113" s="39">
        <f>D113-I113</f>
        <v>1650</v>
      </c>
      <c r="K113" s="39">
        <f>E113-I113</f>
        <v>1238</v>
      </c>
    </row>
    <row r="114" spans="1:11" s="101" customFormat="1">
      <c r="A114" s="40"/>
      <c r="B114" s="100"/>
      <c r="C114" s="41"/>
      <c r="D114" s="42"/>
      <c r="E114" s="42"/>
      <c r="F114" s="42"/>
      <c r="G114" s="42"/>
      <c r="H114" s="42"/>
      <c r="I114" s="42"/>
      <c r="J114" s="42"/>
      <c r="K114" s="42"/>
    </row>
    <row r="115" spans="1:11">
      <c r="A115" s="37" t="s">
        <v>18</v>
      </c>
      <c r="B115" s="96"/>
      <c r="C115" s="38" t="s">
        <v>217</v>
      </c>
      <c r="D115" s="39">
        <v>3329</v>
      </c>
      <c r="E115" s="39">
        <v>2496</v>
      </c>
      <c r="F115" s="39"/>
      <c r="G115" s="39"/>
      <c r="H115" s="39"/>
      <c r="I115" s="39">
        <v>0</v>
      </c>
      <c r="J115" s="39">
        <f t="shared" ref="J115:J121" si="35">D115-I115</f>
        <v>3329</v>
      </c>
      <c r="K115" s="39">
        <f t="shared" ref="K115:K121" si="36">E115-I115</f>
        <v>2496</v>
      </c>
    </row>
    <row r="116" spans="1:11" s="108" customFormat="1">
      <c r="A116" s="126" t="s">
        <v>151</v>
      </c>
      <c r="B116" s="107"/>
      <c r="C116" s="53"/>
      <c r="D116" s="54">
        <f>D117+D119</f>
        <v>4444</v>
      </c>
      <c r="E116" s="54">
        <f t="shared" ref="E116:K116" si="37">E117+E119</f>
        <v>3174</v>
      </c>
      <c r="F116" s="54">
        <f t="shared" si="37"/>
        <v>0</v>
      </c>
      <c r="G116" s="54">
        <f t="shared" si="37"/>
        <v>0</v>
      </c>
      <c r="H116" s="54">
        <f t="shared" si="37"/>
        <v>0</v>
      </c>
      <c r="I116" s="54">
        <f t="shared" si="37"/>
        <v>0</v>
      </c>
      <c r="J116" s="54">
        <f t="shared" si="37"/>
        <v>4444</v>
      </c>
      <c r="K116" s="54">
        <f t="shared" si="37"/>
        <v>3174</v>
      </c>
    </row>
    <row r="117" spans="1:11">
      <c r="A117" s="37" t="s">
        <v>20</v>
      </c>
      <c r="B117" s="96"/>
      <c r="C117" s="38" t="s">
        <v>218</v>
      </c>
      <c r="D117" s="39">
        <v>1600</v>
      </c>
      <c r="E117" s="39">
        <v>1600</v>
      </c>
      <c r="F117" s="39"/>
      <c r="G117" s="39"/>
      <c r="H117" s="39"/>
      <c r="I117" s="39">
        <v>0</v>
      </c>
      <c r="J117" s="39">
        <f t="shared" si="35"/>
        <v>1600</v>
      </c>
      <c r="K117" s="39">
        <f t="shared" si="36"/>
        <v>1600</v>
      </c>
    </row>
    <row r="118" spans="1:11" hidden="1">
      <c r="A118" s="37" t="s">
        <v>21</v>
      </c>
      <c r="B118" s="96"/>
      <c r="C118" s="38" t="s">
        <v>134</v>
      </c>
      <c r="D118" s="39"/>
      <c r="E118" s="39"/>
      <c r="F118" s="39"/>
      <c r="G118" s="39"/>
      <c r="H118" s="39"/>
      <c r="I118" s="39">
        <v>0</v>
      </c>
      <c r="J118" s="39">
        <f t="shared" si="35"/>
        <v>0</v>
      </c>
      <c r="K118" s="39">
        <f t="shared" si="36"/>
        <v>0</v>
      </c>
    </row>
    <row r="119" spans="1:11">
      <c r="A119" s="37" t="s">
        <v>21</v>
      </c>
      <c r="B119" s="96"/>
      <c r="C119" s="38" t="s">
        <v>263</v>
      </c>
      <c r="D119" s="39">
        <v>2844</v>
      </c>
      <c r="E119" s="39">
        <v>1574</v>
      </c>
      <c r="F119" s="39"/>
      <c r="G119" s="39"/>
      <c r="H119" s="39"/>
      <c r="I119" s="39">
        <v>0</v>
      </c>
      <c r="J119" s="39">
        <f t="shared" si="35"/>
        <v>2844</v>
      </c>
      <c r="K119" s="39">
        <f t="shared" si="36"/>
        <v>1574</v>
      </c>
    </row>
    <row r="120" spans="1:11" hidden="1">
      <c r="A120" s="37" t="s">
        <v>23</v>
      </c>
      <c r="B120" s="96"/>
      <c r="C120" s="38" t="s">
        <v>135</v>
      </c>
      <c r="D120" s="39">
        <v>0</v>
      </c>
      <c r="E120" s="39">
        <v>0</v>
      </c>
      <c r="F120" s="39"/>
      <c r="G120" s="39"/>
      <c r="H120" s="39"/>
      <c r="I120" s="39">
        <v>0</v>
      </c>
      <c r="J120" s="39">
        <f t="shared" si="35"/>
        <v>0</v>
      </c>
      <c r="K120" s="39">
        <f t="shared" si="36"/>
        <v>0</v>
      </c>
    </row>
    <row r="121" spans="1:11">
      <c r="A121" s="48" t="s">
        <v>32</v>
      </c>
      <c r="B121" s="96"/>
      <c r="C121" s="38" t="s">
        <v>219</v>
      </c>
      <c r="D121" s="39">
        <v>9810</v>
      </c>
      <c r="E121" s="39">
        <v>7393</v>
      </c>
      <c r="F121" s="39"/>
      <c r="G121" s="39"/>
      <c r="H121" s="39"/>
      <c r="I121" s="39">
        <v>7317</v>
      </c>
      <c r="J121" s="39">
        <f t="shared" si="35"/>
        <v>2493</v>
      </c>
      <c r="K121" s="39">
        <f t="shared" si="36"/>
        <v>76</v>
      </c>
    </row>
    <row r="122" spans="1:11" s="102" customFormat="1">
      <c r="A122" s="43"/>
      <c r="B122" s="51"/>
      <c r="C122" s="44"/>
      <c r="D122" s="45"/>
      <c r="E122" s="45"/>
      <c r="F122" s="45"/>
      <c r="G122" s="45"/>
      <c r="H122" s="45"/>
      <c r="I122" s="45"/>
      <c r="J122" s="45"/>
      <c r="K122" s="45"/>
    </row>
    <row r="123" spans="1:11" s="102" customFormat="1" ht="21.75">
      <c r="A123" s="121" t="s">
        <v>149</v>
      </c>
      <c r="B123" s="51"/>
      <c r="C123" s="50" t="s">
        <v>179</v>
      </c>
      <c r="D123" s="45">
        <f>D124</f>
        <v>3256</v>
      </c>
      <c r="E123" s="45">
        <f t="shared" ref="E123:K123" si="38">E124</f>
        <v>3256</v>
      </c>
      <c r="F123" s="45">
        <f t="shared" si="38"/>
        <v>12705</v>
      </c>
      <c r="G123" s="45">
        <f t="shared" si="38"/>
        <v>0</v>
      </c>
      <c r="H123" s="45">
        <f t="shared" si="38"/>
        <v>0</v>
      </c>
      <c r="I123" s="45">
        <f t="shared" si="38"/>
        <v>0</v>
      </c>
      <c r="J123" s="45">
        <f t="shared" si="38"/>
        <v>3256</v>
      </c>
      <c r="K123" s="45">
        <f t="shared" si="38"/>
        <v>3256</v>
      </c>
    </row>
    <row r="124" spans="1:11" s="102" customFormat="1">
      <c r="A124" s="121" t="s">
        <v>150</v>
      </c>
      <c r="B124" s="51"/>
      <c r="C124" s="50" t="s">
        <v>132</v>
      </c>
      <c r="D124" s="45">
        <f>D128+D129</f>
        <v>3256</v>
      </c>
      <c r="E124" s="45">
        <f t="shared" ref="E124:K124" si="39">E128+E129</f>
        <v>3256</v>
      </c>
      <c r="F124" s="45">
        <f t="shared" si="39"/>
        <v>12705</v>
      </c>
      <c r="G124" s="45">
        <f t="shared" si="39"/>
        <v>0</v>
      </c>
      <c r="H124" s="45">
        <f t="shared" si="39"/>
        <v>0</v>
      </c>
      <c r="I124" s="45">
        <f t="shared" si="39"/>
        <v>0</v>
      </c>
      <c r="J124" s="45">
        <f t="shared" si="39"/>
        <v>3256</v>
      </c>
      <c r="K124" s="45">
        <f t="shared" si="39"/>
        <v>3256</v>
      </c>
    </row>
    <row r="125" spans="1:11" s="102" customFormat="1" hidden="1">
      <c r="A125" s="37" t="s">
        <v>23</v>
      </c>
      <c r="B125" s="51"/>
      <c r="C125" s="38" t="s">
        <v>71</v>
      </c>
      <c r="D125" s="39"/>
      <c r="E125" s="39"/>
      <c r="F125" s="39"/>
      <c r="G125" s="39"/>
      <c r="H125" s="39"/>
      <c r="I125" s="39"/>
      <c r="J125" s="39">
        <f>D125-I125</f>
        <v>0</v>
      </c>
      <c r="K125" s="39">
        <f>E125-I125</f>
        <v>0</v>
      </c>
    </row>
    <row r="126" spans="1:11" s="102" customFormat="1" hidden="1">
      <c r="A126" s="37" t="s">
        <v>23</v>
      </c>
      <c r="B126" s="51"/>
      <c r="C126" s="38" t="s">
        <v>72</v>
      </c>
      <c r="D126" s="39"/>
      <c r="E126" s="39"/>
      <c r="F126" s="39"/>
      <c r="G126" s="39"/>
      <c r="H126" s="39"/>
      <c r="I126" s="39"/>
      <c r="J126" s="39">
        <f>D126-I126</f>
        <v>0</v>
      </c>
      <c r="K126" s="39">
        <f>E126-I126</f>
        <v>0</v>
      </c>
    </row>
    <row r="127" spans="1:11" s="105" customFormat="1">
      <c r="A127" s="122"/>
      <c r="B127" s="51"/>
      <c r="C127" s="44"/>
      <c r="D127" s="45"/>
      <c r="E127" s="45"/>
      <c r="F127" s="45"/>
      <c r="G127" s="45"/>
      <c r="H127" s="45"/>
      <c r="I127" s="45"/>
      <c r="J127" s="45"/>
      <c r="K127" s="45"/>
    </row>
    <row r="128" spans="1:11" s="102" customFormat="1">
      <c r="A128" s="70" t="s">
        <v>141</v>
      </c>
      <c r="B128" s="51"/>
      <c r="C128" s="38" t="s">
        <v>264</v>
      </c>
      <c r="D128" s="45">
        <v>2776</v>
      </c>
      <c r="E128" s="45">
        <v>2776</v>
      </c>
      <c r="F128" s="45">
        <v>12100</v>
      </c>
      <c r="G128" s="45"/>
      <c r="H128" s="45"/>
      <c r="I128" s="45">
        <v>0</v>
      </c>
      <c r="J128" s="39">
        <f>D128-I128</f>
        <v>2776</v>
      </c>
      <c r="K128" s="39">
        <f>E128-I128</f>
        <v>2776</v>
      </c>
    </row>
    <row r="129" spans="1:11" s="102" customFormat="1">
      <c r="A129" s="70" t="s">
        <v>141</v>
      </c>
      <c r="B129" s="51"/>
      <c r="C129" s="38" t="s">
        <v>265</v>
      </c>
      <c r="D129" s="45">
        <v>480</v>
      </c>
      <c r="E129" s="45">
        <v>480</v>
      </c>
      <c r="F129" s="45">
        <v>605</v>
      </c>
      <c r="G129" s="45"/>
      <c r="H129" s="45"/>
      <c r="I129" s="45">
        <v>0</v>
      </c>
      <c r="J129" s="39">
        <f>D129-I129</f>
        <v>480</v>
      </c>
      <c r="K129" s="39">
        <f>E129-I129</f>
        <v>480</v>
      </c>
    </row>
    <row r="130" spans="1:11" s="102" customFormat="1">
      <c r="A130" s="71"/>
      <c r="B130" s="51"/>
      <c r="C130" s="38"/>
      <c r="D130" s="45"/>
      <c r="E130" s="45"/>
      <c r="F130" s="45"/>
      <c r="G130" s="45"/>
      <c r="H130" s="45"/>
      <c r="I130" s="45"/>
      <c r="J130" s="45"/>
      <c r="K130" s="45"/>
    </row>
    <row r="131" spans="1:11" s="105" customFormat="1" hidden="1">
      <c r="A131" s="89" t="s">
        <v>118</v>
      </c>
      <c r="B131" s="90"/>
      <c r="C131" s="87" t="s">
        <v>119</v>
      </c>
      <c r="D131" s="88"/>
      <c r="E131" s="88"/>
      <c r="F131" s="88"/>
      <c r="G131" s="88"/>
      <c r="H131" s="88"/>
      <c r="I131" s="88"/>
      <c r="J131" s="88">
        <f>D131-I131</f>
        <v>0</v>
      </c>
      <c r="K131" s="88">
        <f>E131-I131</f>
        <v>0</v>
      </c>
    </row>
    <row r="132" spans="1:11" s="105" customFormat="1" hidden="1">
      <c r="A132" s="89" t="s">
        <v>118</v>
      </c>
      <c r="B132" s="90"/>
      <c r="C132" s="87" t="s">
        <v>123</v>
      </c>
      <c r="D132" s="88"/>
      <c r="E132" s="88"/>
      <c r="F132" s="88"/>
      <c r="G132" s="88"/>
      <c r="H132" s="88"/>
      <c r="I132" s="88"/>
      <c r="J132" s="88">
        <f>D132-I132</f>
        <v>0</v>
      </c>
      <c r="K132" s="88">
        <f>E132-I132</f>
        <v>0</v>
      </c>
    </row>
    <row r="133" spans="1:11" s="105" customFormat="1" hidden="1">
      <c r="A133" s="89" t="s">
        <v>118</v>
      </c>
      <c r="B133" s="90"/>
      <c r="C133" s="87" t="s">
        <v>124</v>
      </c>
      <c r="D133" s="88"/>
      <c r="E133" s="88"/>
      <c r="F133" s="88"/>
      <c r="G133" s="88"/>
      <c r="H133" s="88"/>
      <c r="I133" s="88"/>
      <c r="J133" s="88">
        <f>D133-I133</f>
        <v>0</v>
      </c>
      <c r="K133" s="88">
        <f>E133-I133</f>
        <v>0</v>
      </c>
    </row>
    <row r="134" spans="1:11" s="105" customFormat="1" hidden="1">
      <c r="A134" s="89"/>
      <c r="B134" s="90"/>
      <c r="C134" s="87"/>
      <c r="D134" s="93">
        <f>SUM(D132:D133)</f>
        <v>0</v>
      </c>
      <c r="E134" s="93">
        <f t="shared" ref="E134:K134" si="40">SUM(E132:E133)</f>
        <v>0</v>
      </c>
      <c r="F134" s="93">
        <f t="shared" si="40"/>
        <v>0</v>
      </c>
      <c r="G134" s="93">
        <f t="shared" si="40"/>
        <v>0</v>
      </c>
      <c r="H134" s="93">
        <f t="shared" si="40"/>
        <v>0</v>
      </c>
      <c r="I134" s="93">
        <f t="shared" si="40"/>
        <v>0</v>
      </c>
      <c r="J134" s="93">
        <f t="shared" si="40"/>
        <v>0</v>
      </c>
      <c r="K134" s="93">
        <f t="shared" si="40"/>
        <v>0</v>
      </c>
    </row>
    <row r="135" spans="1:11" s="105" customFormat="1" hidden="1">
      <c r="A135" s="92" t="s">
        <v>125</v>
      </c>
      <c r="B135" s="90"/>
      <c r="C135" s="87"/>
      <c r="D135" s="91">
        <f>SUM(D131:D133)</f>
        <v>0</v>
      </c>
      <c r="E135" s="91">
        <f t="shared" ref="E135:K135" si="41">SUM(E131:E133)</f>
        <v>0</v>
      </c>
      <c r="F135" s="91">
        <f t="shared" si="41"/>
        <v>0</v>
      </c>
      <c r="G135" s="91">
        <f t="shared" si="41"/>
        <v>0</v>
      </c>
      <c r="H135" s="91">
        <f t="shared" si="41"/>
        <v>0</v>
      </c>
      <c r="I135" s="91">
        <f t="shared" si="41"/>
        <v>0</v>
      </c>
      <c r="J135" s="91">
        <f t="shared" si="41"/>
        <v>0</v>
      </c>
      <c r="K135" s="91">
        <f t="shared" si="41"/>
        <v>0</v>
      </c>
    </row>
    <row r="136" spans="1:11" s="105" customFormat="1">
      <c r="A136" s="121" t="s">
        <v>152</v>
      </c>
      <c r="B136" s="90"/>
      <c r="C136" s="50" t="s">
        <v>180</v>
      </c>
      <c r="D136" s="45">
        <f t="shared" ref="D136:I136" si="42">D137+D145</f>
        <v>580522.67000000004</v>
      </c>
      <c r="E136" s="45">
        <f t="shared" si="42"/>
        <v>509222.67</v>
      </c>
      <c r="F136" s="45">
        <f t="shared" si="42"/>
        <v>277550</v>
      </c>
      <c r="G136" s="45">
        <f t="shared" si="42"/>
        <v>0</v>
      </c>
      <c r="H136" s="45">
        <f t="shared" si="42"/>
        <v>0</v>
      </c>
      <c r="I136" s="45">
        <f t="shared" si="42"/>
        <v>179541.66999999998</v>
      </c>
      <c r="J136" s="45">
        <f>D136-I136</f>
        <v>400981.00000000006</v>
      </c>
      <c r="K136" s="45">
        <f>E136-I136</f>
        <v>329681</v>
      </c>
    </row>
    <row r="137" spans="1:11" s="105" customFormat="1">
      <c r="A137" s="121" t="s">
        <v>153</v>
      </c>
      <c r="B137" s="90"/>
      <c r="C137" s="50" t="s">
        <v>148</v>
      </c>
      <c r="D137" s="45">
        <f>D139+D141+D142+D143+D140</f>
        <v>499976</v>
      </c>
      <c r="E137" s="45">
        <f t="shared" ref="E137:K137" si="43">E139+E141+E142+E143+E140</f>
        <v>428676</v>
      </c>
      <c r="F137" s="45">
        <f t="shared" si="43"/>
        <v>277550</v>
      </c>
      <c r="G137" s="45">
        <f t="shared" si="43"/>
        <v>0</v>
      </c>
      <c r="H137" s="45">
        <f t="shared" si="43"/>
        <v>0</v>
      </c>
      <c r="I137" s="45">
        <f t="shared" si="43"/>
        <v>98995</v>
      </c>
      <c r="J137" s="45">
        <f t="shared" si="43"/>
        <v>400981</v>
      </c>
      <c r="K137" s="45">
        <f t="shared" si="43"/>
        <v>329681</v>
      </c>
    </row>
    <row r="138" spans="1:11" s="105" customFormat="1">
      <c r="A138" s="124" t="s">
        <v>151</v>
      </c>
      <c r="B138" s="90"/>
      <c r="C138" s="87"/>
      <c r="D138" s="91"/>
      <c r="E138" s="91"/>
      <c r="F138" s="91"/>
      <c r="G138" s="91"/>
      <c r="H138" s="91"/>
      <c r="I138" s="91"/>
      <c r="J138" s="91"/>
      <c r="K138" s="91"/>
    </row>
    <row r="139" spans="1:11" s="102" customFormat="1" ht="17.25" customHeight="1">
      <c r="A139" s="37" t="s">
        <v>20</v>
      </c>
      <c r="B139" s="51"/>
      <c r="C139" s="38" t="s">
        <v>272</v>
      </c>
      <c r="D139" s="39">
        <f>105200-19</f>
        <v>105181</v>
      </c>
      <c r="E139" s="39">
        <v>78881</v>
      </c>
      <c r="F139" s="39">
        <v>55510</v>
      </c>
      <c r="G139" s="39"/>
      <c r="H139" s="39"/>
      <c r="I139" s="39"/>
      <c r="J139" s="39">
        <f>D139-I139</f>
        <v>105181</v>
      </c>
      <c r="K139" s="39">
        <f>E139-I139</f>
        <v>78881</v>
      </c>
    </row>
    <row r="140" spans="1:11" s="102" customFormat="1" ht="17.25" customHeight="1">
      <c r="A140" s="37" t="s">
        <v>20</v>
      </c>
      <c r="B140" s="51"/>
      <c r="C140" s="38" t="s">
        <v>276</v>
      </c>
      <c r="D140" s="39">
        <f>376+19</f>
        <v>395</v>
      </c>
      <c r="E140" s="39">
        <v>395</v>
      </c>
      <c r="F140" s="39">
        <v>55510</v>
      </c>
      <c r="G140" s="39"/>
      <c r="H140" s="39"/>
      <c r="I140" s="39">
        <v>395</v>
      </c>
      <c r="J140" s="39">
        <f>D140-I140</f>
        <v>0</v>
      </c>
      <c r="K140" s="39">
        <f>E140-I140</f>
        <v>0</v>
      </c>
    </row>
    <row r="141" spans="1:11" s="102" customFormat="1" ht="17.25" customHeight="1">
      <c r="A141" s="37" t="s">
        <v>21</v>
      </c>
      <c r="B141" s="51"/>
      <c r="C141" s="38" t="s">
        <v>266</v>
      </c>
      <c r="D141" s="39">
        <f>376-376</f>
        <v>0</v>
      </c>
      <c r="E141" s="39">
        <v>0</v>
      </c>
      <c r="F141" s="39">
        <v>55510</v>
      </c>
      <c r="G141" s="39"/>
      <c r="H141" s="39"/>
      <c r="I141" s="39"/>
      <c r="J141" s="39">
        <f>D141-I141</f>
        <v>0</v>
      </c>
      <c r="K141" s="39">
        <f>E141-I141</f>
        <v>0</v>
      </c>
    </row>
    <row r="142" spans="1:11" s="102" customFormat="1" ht="17.25" customHeight="1">
      <c r="A142" s="37" t="s">
        <v>20</v>
      </c>
      <c r="B142" s="51"/>
      <c r="C142" s="38" t="s">
        <v>220</v>
      </c>
      <c r="D142" s="39">
        <v>194400</v>
      </c>
      <c r="E142" s="39">
        <v>149400</v>
      </c>
      <c r="F142" s="39">
        <v>55510</v>
      </c>
      <c r="G142" s="39"/>
      <c r="H142" s="39"/>
      <c r="I142" s="39">
        <v>98600</v>
      </c>
      <c r="J142" s="39">
        <f>D142-I142</f>
        <v>95800</v>
      </c>
      <c r="K142" s="39">
        <f>E142-I142</f>
        <v>50800</v>
      </c>
    </row>
    <row r="143" spans="1:11" s="102" customFormat="1" ht="17.25" customHeight="1">
      <c r="A143" s="37" t="s">
        <v>21</v>
      </c>
      <c r="B143" s="51"/>
      <c r="C143" s="38" t="s">
        <v>273</v>
      </c>
      <c r="D143" s="39">
        <v>200000</v>
      </c>
      <c r="E143" s="39">
        <v>200000</v>
      </c>
      <c r="F143" s="39">
        <v>55510</v>
      </c>
      <c r="G143" s="39"/>
      <c r="H143" s="39"/>
      <c r="I143" s="39"/>
      <c r="J143" s="39">
        <f>D143-I143</f>
        <v>200000</v>
      </c>
      <c r="K143" s="39">
        <f>E143-I143</f>
        <v>200000</v>
      </c>
    </row>
    <row r="144" spans="1:11" s="102" customFormat="1" ht="17.25" customHeight="1">
      <c r="A144" s="37"/>
      <c r="B144" s="51"/>
      <c r="C144" s="38"/>
      <c r="D144" s="39"/>
      <c r="E144" s="39"/>
      <c r="F144" s="39"/>
      <c r="G144" s="39"/>
      <c r="H144" s="39"/>
      <c r="I144" s="39"/>
      <c r="J144" s="39"/>
      <c r="K144" s="39"/>
    </row>
    <row r="145" spans="1:11" s="102" customFormat="1" ht="124.5" customHeight="1">
      <c r="A145" s="145" t="s">
        <v>284</v>
      </c>
      <c r="B145" s="72"/>
      <c r="C145" s="44" t="s">
        <v>281</v>
      </c>
      <c r="D145" s="45">
        <v>80546.67</v>
      </c>
      <c r="E145" s="45">
        <v>80546.67</v>
      </c>
      <c r="F145" s="45"/>
      <c r="G145" s="45"/>
      <c r="H145" s="45"/>
      <c r="I145" s="45">
        <v>80546.67</v>
      </c>
      <c r="J145" s="39">
        <f>D145-I145</f>
        <v>0</v>
      </c>
      <c r="K145" s="39">
        <f>E145-I145</f>
        <v>0</v>
      </c>
    </row>
    <row r="146" spans="1:11" s="102" customFormat="1" ht="28.5" customHeight="1">
      <c r="A146" s="72"/>
      <c r="B146" s="72"/>
      <c r="C146" s="44"/>
      <c r="D146" s="45"/>
      <c r="E146" s="45"/>
      <c r="F146" s="45"/>
      <c r="G146" s="45"/>
      <c r="H146" s="45"/>
      <c r="I146" s="45"/>
      <c r="J146" s="45"/>
      <c r="K146" s="45"/>
    </row>
    <row r="147" spans="1:11" s="102" customFormat="1" ht="17.25" customHeight="1">
      <c r="A147" s="147" t="s">
        <v>154</v>
      </c>
      <c r="B147" s="51"/>
      <c r="C147" s="148" t="s">
        <v>164</v>
      </c>
      <c r="D147" s="45">
        <f>D151+D149</f>
        <v>16421834.6</v>
      </c>
      <c r="E147" s="45">
        <f t="shared" ref="E147:I147" si="44">E151+E149</f>
        <v>16402369.6</v>
      </c>
      <c r="F147" s="45">
        <f t="shared" si="44"/>
        <v>0</v>
      </c>
      <c r="G147" s="45">
        <f t="shared" si="44"/>
        <v>0</v>
      </c>
      <c r="H147" s="45">
        <f t="shared" si="44"/>
        <v>0</v>
      </c>
      <c r="I147" s="45">
        <f t="shared" si="44"/>
        <v>6187252</v>
      </c>
      <c r="J147" s="144">
        <f>D147-I147</f>
        <v>10234582.6</v>
      </c>
      <c r="K147" s="144">
        <f>E147-I147</f>
        <v>10215117.6</v>
      </c>
    </row>
    <row r="148" spans="1:11" s="102" customFormat="1" ht="17.25" customHeight="1">
      <c r="A148" s="147"/>
      <c r="B148" s="51"/>
      <c r="C148" s="148"/>
      <c r="D148" s="45"/>
      <c r="E148" s="45"/>
      <c r="F148" s="45"/>
      <c r="G148" s="45"/>
      <c r="H148" s="45"/>
      <c r="I148" s="45"/>
      <c r="J148" s="45"/>
      <c r="K148" s="45"/>
    </row>
    <row r="149" spans="1:11" s="102" customFormat="1" ht="80.25" customHeight="1">
      <c r="A149" s="149" t="s">
        <v>283</v>
      </c>
      <c r="B149" s="51"/>
      <c r="C149" s="150" t="s">
        <v>282</v>
      </c>
      <c r="D149" s="144">
        <v>16086496.6</v>
      </c>
      <c r="E149" s="144">
        <v>16086496.6</v>
      </c>
      <c r="F149" s="144"/>
      <c r="G149" s="144"/>
      <c r="H149" s="144"/>
      <c r="I149" s="144">
        <v>6000000</v>
      </c>
      <c r="J149" s="144">
        <f>D149-I149</f>
        <v>10086496.6</v>
      </c>
      <c r="K149" s="144">
        <f>E149-I149</f>
        <v>10086496.6</v>
      </c>
    </row>
    <row r="150" spans="1:11" s="102" customFormat="1" ht="17.25" customHeight="1">
      <c r="A150" s="147"/>
      <c r="B150" s="51"/>
      <c r="C150" s="148"/>
      <c r="D150" s="45"/>
      <c r="E150" s="45"/>
      <c r="F150" s="45"/>
      <c r="G150" s="45"/>
      <c r="H150" s="45"/>
      <c r="I150" s="45"/>
      <c r="J150" s="45"/>
      <c r="K150" s="45"/>
    </row>
    <row r="151" spans="1:11" s="102" customFormat="1" ht="17.25" customHeight="1">
      <c r="A151" s="147" t="s">
        <v>155</v>
      </c>
      <c r="B151" s="51"/>
      <c r="C151" s="148" t="s">
        <v>163</v>
      </c>
      <c r="D151" s="45">
        <f>D152</f>
        <v>335338</v>
      </c>
      <c r="E151" s="45">
        <f t="shared" ref="E151:K151" si="45">E152</f>
        <v>315873</v>
      </c>
      <c r="F151" s="45">
        <f t="shared" si="45"/>
        <v>0</v>
      </c>
      <c r="G151" s="45">
        <f t="shared" si="45"/>
        <v>0</v>
      </c>
      <c r="H151" s="45">
        <f t="shared" si="45"/>
        <v>0</v>
      </c>
      <c r="I151" s="45">
        <f t="shared" si="45"/>
        <v>187252</v>
      </c>
      <c r="J151" s="45">
        <f t="shared" si="45"/>
        <v>128621</v>
      </c>
      <c r="K151" s="45">
        <f t="shared" si="45"/>
        <v>128621</v>
      </c>
    </row>
    <row r="152" spans="1:11" s="105" customFormat="1">
      <c r="A152" s="70" t="s">
        <v>151</v>
      </c>
      <c r="B152" s="90"/>
      <c r="C152" s="151" t="s">
        <v>162</v>
      </c>
      <c r="D152" s="45">
        <f>D153+D154+D157+D156</f>
        <v>335338</v>
      </c>
      <c r="E152" s="45">
        <f t="shared" ref="E152:K152" si="46">E153+E154+E157</f>
        <v>315873</v>
      </c>
      <c r="F152" s="45">
        <f t="shared" si="46"/>
        <v>0</v>
      </c>
      <c r="G152" s="45">
        <f t="shared" si="46"/>
        <v>0</v>
      </c>
      <c r="H152" s="45">
        <f t="shared" si="46"/>
        <v>0</v>
      </c>
      <c r="I152" s="45">
        <f t="shared" si="46"/>
        <v>187252</v>
      </c>
      <c r="J152" s="45">
        <f t="shared" si="46"/>
        <v>128621</v>
      </c>
      <c r="K152" s="45">
        <f t="shared" si="46"/>
        <v>128621</v>
      </c>
    </row>
    <row r="153" spans="1:11">
      <c r="A153" s="37" t="s">
        <v>19</v>
      </c>
      <c r="B153" s="96"/>
      <c r="C153" s="38" t="s">
        <v>221</v>
      </c>
      <c r="D153" s="39">
        <f>187252+60000</f>
        <v>247252</v>
      </c>
      <c r="E153" s="39">
        <f>187251.14+0.86+60000</f>
        <v>247252</v>
      </c>
      <c r="F153" s="106"/>
      <c r="G153" s="39"/>
      <c r="H153" s="39"/>
      <c r="I153" s="39">
        <v>187252</v>
      </c>
      <c r="J153" s="39">
        <f>D153-I153</f>
        <v>60000</v>
      </c>
      <c r="K153" s="39">
        <f>E153-I153</f>
        <v>60000</v>
      </c>
    </row>
    <row r="154" spans="1:11">
      <c r="A154" s="70" t="s">
        <v>141</v>
      </c>
      <c r="B154" s="96"/>
      <c r="C154" s="38" t="s">
        <v>267</v>
      </c>
      <c r="D154" s="39">
        <f>50621+17000</f>
        <v>67621</v>
      </c>
      <c r="E154" s="39">
        <f>50621+17000</f>
        <v>67621</v>
      </c>
      <c r="F154" s="39"/>
      <c r="G154" s="39"/>
      <c r="H154" s="39"/>
      <c r="I154" s="39">
        <v>0</v>
      </c>
      <c r="J154" s="39">
        <f>D154-I154</f>
        <v>67621</v>
      </c>
      <c r="K154" s="39">
        <f>E154-I154</f>
        <v>67621</v>
      </c>
    </row>
    <row r="155" spans="1:11" hidden="1">
      <c r="A155" s="37" t="s">
        <v>20</v>
      </c>
      <c r="B155" s="96"/>
      <c r="C155" s="38" t="s">
        <v>97</v>
      </c>
      <c r="D155" s="39"/>
      <c r="E155" s="39"/>
      <c r="F155" s="39"/>
      <c r="G155" s="39"/>
      <c r="H155" s="39"/>
      <c r="I155" s="39"/>
      <c r="J155" s="39">
        <f>D155-I155</f>
        <v>0</v>
      </c>
      <c r="K155" s="39">
        <f>E155-I155</f>
        <v>0</v>
      </c>
    </row>
    <row r="156" spans="1:11">
      <c r="A156" s="70" t="s">
        <v>141</v>
      </c>
      <c r="B156" s="96"/>
      <c r="C156" s="38" t="s">
        <v>304</v>
      </c>
      <c r="D156" s="39">
        <v>19465</v>
      </c>
      <c r="E156" s="39">
        <v>0</v>
      </c>
      <c r="F156" s="39"/>
      <c r="G156" s="39"/>
      <c r="H156" s="39"/>
      <c r="I156" s="39">
        <v>0</v>
      </c>
      <c r="J156" s="39">
        <f>D156-I156</f>
        <v>19465</v>
      </c>
      <c r="K156" s="39">
        <f>E156-I156</f>
        <v>0</v>
      </c>
    </row>
    <row r="157" spans="1:11">
      <c r="A157" s="37" t="s">
        <v>21</v>
      </c>
      <c r="B157" s="96"/>
      <c r="C157" s="38" t="s">
        <v>268</v>
      </c>
      <c r="D157" s="39">
        <v>1000</v>
      </c>
      <c r="E157" s="39">
        <v>1000</v>
      </c>
      <c r="F157" s="39"/>
      <c r="G157" s="39"/>
      <c r="H157" s="39"/>
      <c r="I157" s="39">
        <v>0</v>
      </c>
      <c r="J157" s="39">
        <f>D157-I157</f>
        <v>1000</v>
      </c>
      <c r="K157" s="39">
        <f>E157-I157</f>
        <v>1000</v>
      </c>
    </row>
    <row r="158" spans="1:11">
      <c r="A158" s="37"/>
      <c r="B158" s="96"/>
      <c r="C158" s="38"/>
      <c r="D158" s="39"/>
      <c r="E158" s="39"/>
      <c r="F158" s="39"/>
      <c r="G158" s="39"/>
      <c r="H158" s="39"/>
      <c r="I158" s="39"/>
      <c r="J158" s="39"/>
      <c r="K158" s="39"/>
    </row>
    <row r="159" spans="1:11">
      <c r="A159" s="37" t="s">
        <v>21</v>
      </c>
      <c r="B159" s="96"/>
      <c r="C159" s="38" t="s">
        <v>299</v>
      </c>
      <c r="D159" s="39">
        <v>285000</v>
      </c>
      <c r="E159" s="39">
        <v>285000</v>
      </c>
      <c r="F159" s="39"/>
      <c r="G159" s="39"/>
      <c r="H159" s="39"/>
      <c r="I159" s="39">
        <v>0</v>
      </c>
      <c r="J159" s="39">
        <f>D159-I159</f>
        <v>285000</v>
      </c>
      <c r="K159" s="39">
        <f>E159-I159</f>
        <v>285000</v>
      </c>
    </row>
    <row r="160" spans="1:11">
      <c r="A160" s="37" t="s">
        <v>21</v>
      </c>
      <c r="B160" s="96"/>
      <c r="C160" s="38" t="s">
        <v>300</v>
      </c>
      <c r="D160" s="39">
        <v>285</v>
      </c>
      <c r="E160" s="39">
        <v>285</v>
      </c>
      <c r="F160" s="39"/>
      <c r="G160" s="39"/>
      <c r="H160" s="39"/>
      <c r="I160" s="39">
        <v>0</v>
      </c>
      <c r="J160" s="39">
        <f>D160-I160</f>
        <v>285</v>
      </c>
      <c r="K160" s="39">
        <f>E160-I160</f>
        <v>285</v>
      </c>
    </row>
    <row r="161" spans="1:11" s="102" customFormat="1">
      <c r="A161" s="43"/>
      <c r="B161" s="51"/>
      <c r="C161" s="44"/>
      <c r="D161" s="45"/>
      <c r="E161" s="45"/>
      <c r="F161" s="45"/>
      <c r="G161" s="45"/>
      <c r="H161" s="45"/>
      <c r="I161" s="45"/>
      <c r="J161" s="45"/>
      <c r="K161" s="45"/>
    </row>
    <row r="162" spans="1:11" s="102" customFormat="1">
      <c r="A162" s="147" t="s">
        <v>156</v>
      </c>
      <c r="B162" s="51"/>
      <c r="C162" s="148" t="s">
        <v>165</v>
      </c>
      <c r="D162" s="45">
        <f>D163+D183</f>
        <v>3250894</v>
      </c>
      <c r="E162" s="45">
        <f t="shared" ref="E162:K162" si="47">E163+E183</f>
        <v>2563348</v>
      </c>
      <c r="F162" s="45" t="e">
        <f t="shared" si="47"/>
        <v>#REF!</v>
      </c>
      <c r="G162" s="45" t="e">
        <f t="shared" si="47"/>
        <v>#REF!</v>
      </c>
      <c r="H162" s="45" t="e">
        <f t="shared" si="47"/>
        <v>#REF!</v>
      </c>
      <c r="I162" s="45">
        <f t="shared" si="47"/>
        <v>2284189.7599999998</v>
      </c>
      <c r="J162" s="45">
        <f t="shared" si="47"/>
        <v>966704.24</v>
      </c>
      <c r="K162" s="45">
        <f t="shared" si="47"/>
        <v>279158.24</v>
      </c>
    </row>
    <row r="163" spans="1:11" s="102" customFormat="1" ht="21.75">
      <c r="A163" s="147" t="s">
        <v>157</v>
      </c>
      <c r="B163" s="51"/>
      <c r="C163" s="148" t="s">
        <v>166</v>
      </c>
      <c r="D163" s="45">
        <f>D164+D173+D174+D176+D181</f>
        <v>982470</v>
      </c>
      <c r="E163" s="45">
        <f t="shared" ref="E163:K163" si="48">E164+E173+E174+E176+E181</f>
        <v>715725</v>
      </c>
      <c r="F163" s="45">
        <f t="shared" si="48"/>
        <v>0</v>
      </c>
      <c r="G163" s="45">
        <f t="shared" si="48"/>
        <v>0</v>
      </c>
      <c r="H163" s="45">
        <f t="shared" si="48"/>
        <v>0</v>
      </c>
      <c r="I163" s="45">
        <f t="shared" si="48"/>
        <v>617935.76</v>
      </c>
      <c r="J163" s="45">
        <f t="shared" si="48"/>
        <v>364534.24</v>
      </c>
      <c r="K163" s="45">
        <f t="shared" si="48"/>
        <v>97789.239999999962</v>
      </c>
    </row>
    <row r="164" spans="1:11" s="102" customFormat="1">
      <c r="A164" s="70" t="s">
        <v>159</v>
      </c>
      <c r="B164" s="51"/>
      <c r="C164" s="151" t="s">
        <v>167</v>
      </c>
      <c r="D164" s="45">
        <f>D165+D168+D171</f>
        <v>845602</v>
      </c>
      <c r="E164" s="45">
        <f t="shared" ref="E164:K164" si="49">E165+E168+E171</f>
        <v>613112</v>
      </c>
      <c r="F164" s="45">
        <f t="shared" si="49"/>
        <v>0</v>
      </c>
      <c r="G164" s="45">
        <f t="shared" si="49"/>
        <v>0</v>
      </c>
      <c r="H164" s="45">
        <f t="shared" si="49"/>
        <v>0</v>
      </c>
      <c r="I164" s="45">
        <f t="shared" si="49"/>
        <v>569162.32000000007</v>
      </c>
      <c r="J164" s="45">
        <f t="shared" si="49"/>
        <v>276439.67999999999</v>
      </c>
      <c r="K164" s="45">
        <f t="shared" si="49"/>
        <v>43949.679999999971</v>
      </c>
    </row>
    <row r="165" spans="1:11">
      <c r="A165" s="37" t="s">
        <v>27</v>
      </c>
      <c r="B165" s="96"/>
      <c r="C165" s="38" t="s">
        <v>223</v>
      </c>
      <c r="D165" s="39">
        <v>622582</v>
      </c>
      <c r="E165" s="39">
        <f>427368+20000</f>
        <v>447368</v>
      </c>
      <c r="F165" s="39"/>
      <c r="G165" s="39"/>
      <c r="H165" s="39"/>
      <c r="I165" s="39">
        <v>431269.28</v>
      </c>
      <c r="J165" s="39">
        <f>D165-I165</f>
        <v>191312.71999999997</v>
      </c>
      <c r="K165" s="39">
        <f>E165-I165</f>
        <v>16098.719999999972</v>
      </c>
    </row>
    <row r="166" spans="1:11" ht="22.5">
      <c r="A166" s="46" t="s">
        <v>28</v>
      </c>
      <c r="B166" s="96"/>
      <c r="C166" s="38" t="s">
        <v>222</v>
      </c>
      <c r="D166" s="39">
        <v>18000</v>
      </c>
      <c r="E166" s="39">
        <v>18000</v>
      </c>
      <c r="F166" s="39"/>
      <c r="G166" s="39"/>
      <c r="H166" s="39"/>
      <c r="I166" s="39"/>
      <c r="J166" s="39">
        <f>D166-I166</f>
        <v>18000</v>
      </c>
      <c r="K166" s="39">
        <f>E166-I166</f>
        <v>18000</v>
      </c>
    </row>
    <row r="167" spans="1:11" ht="22.5">
      <c r="A167" s="46" t="s">
        <v>29</v>
      </c>
      <c r="B167" s="96"/>
      <c r="C167" s="38" t="s">
        <v>224</v>
      </c>
      <c r="D167" s="39">
        <v>17000</v>
      </c>
      <c r="E167" s="39">
        <v>12750</v>
      </c>
      <c r="F167" s="39"/>
      <c r="G167" s="39"/>
      <c r="H167" s="39"/>
      <c r="I167" s="39">
        <v>6500</v>
      </c>
      <c r="J167" s="39">
        <f>D167-I167</f>
        <v>10500</v>
      </c>
      <c r="K167" s="39">
        <f>E167-I167</f>
        <v>6250</v>
      </c>
    </row>
    <row r="168" spans="1:11" s="101" customFormat="1">
      <c r="A168" s="47" t="s">
        <v>161</v>
      </c>
      <c r="B168" s="100"/>
      <c r="C168" s="41"/>
      <c r="D168" s="42">
        <f t="shared" ref="D168:K168" si="50">SUM(D166:D167)</f>
        <v>35000</v>
      </c>
      <c r="E168" s="42">
        <f t="shared" si="50"/>
        <v>30750</v>
      </c>
      <c r="F168" s="42">
        <f t="shared" si="50"/>
        <v>0</v>
      </c>
      <c r="G168" s="42">
        <f t="shared" si="50"/>
        <v>0</v>
      </c>
      <c r="H168" s="42">
        <f t="shared" si="50"/>
        <v>0</v>
      </c>
      <c r="I168" s="42">
        <f t="shared" si="50"/>
        <v>6500</v>
      </c>
      <c r="J168" s="42">
        <f t="shared" si="50"/>
        <v>28500</v>
      </c>
      <c r="K168" s="42">
        <f t="shared" si="50"/>
        <v>24250</v>
      </c>
    </row>
    <row r="169" spans="1:11">
      <c r="A169" s="94" t="s">
        <v>113</v>
      </c>
      <c r="B169" s="96"/>
      <c r="C169" s="38" t="s">
        <v>225</v>
      </c>
      <c r="D169" s="39">
        <v>136968</v>
      </c>
      <c r="E169" s="39">
        <f>96544+1197</f>
        <v>97741</v>
      </c>
      <c r="F169" s="39"/>
      <c r="G169" s="39"/>
      <c r="H169" s="39"/>
      <c r="I169" s="39">
        <v>96544</v>
      </c>
      <c r="J169" s="39">
        <f>D169-I169</f>
        <v>40424</v>
      </c>
      <c r="K169" s="39">
        <f>E169-I169</f>
        <v>1197</v>
      </c>
    </row>
    <row r="170" spans="1:11">
      <c r="A170" s="94" t="s">
        <v>114</v>
      </c>
      <c r="B170" s="96"/>
      <c r="C170" s="38" t="s">
        <v>226</v>
      </c>
      <c r="D170" s="39">
        <v>51052</v>
      </c>
      <c r="E170" s="39">
        <f>35043+2210</f>
        <v>37253</v>
      </c>
      <c r="F170" s="39"/>
      <c r="G170" s="39"/>
      <c r="H170" s="39"/>
      <c r="I170" s="39">
        <v>34849.040000000001</v>
      </c>
      <c r="J170" s="39">
        <f>D170-I170</f>
        <v>16202.96</v>
      </c>
      <c r="K170" s="39">
        <f>E170-I170</f>
        <v>2403.9599999999991</v>
      </c>
    </row>
    <row r="171" spans="1:11" s="101" customFormat="1">
      <c r="A171" s="70" t="s">
        <v>160</v>
      </c>
      <c r="B171" s="100"/>
      <c r="C171" s="41"/>
      <c r="D171" s="42">
        <f t="shared" ref="D171:K171" si="51">SUM(D169:D170)</f>
        <v>188020</v>
      </c>
      <c r="E171" s="42">
        <f t="shared" si="51"/>
        <v>134994</v>
      </c>
      <c r="F171" s="42">
        <f t="shared" si="51"/>
        <v>0</v>
      </c>
      <c r="G171" s="42">
        <f t="shared" si="51"/>
        <v>0</v>
      </c>
      <c r="H171" s="42">
        <f t="shared" si="51"/>
        <v>0</v>
      </c>
      <c r="I171" s="42">
        <f t="shared" si="51"/>
        <v>131393.04</v>
      </c>
      <c r="J171" s="42">
        <f t="shared" si="51"/>
        <v>56626.96</v>
      </c>
      <c r="K171" s="42">
        <f t="shared" si="51"/>
        <v>3600.9599999999991</v>
      </c>
    </row>
    <row r="172" spans="1:11" s="101" customFormat="1">
      <c r="A172" s="70"/>
      <c r="B172" s="100"/>
      <c r="C172" s="41"/>
      <c r="D172" s="42"/>
      <c r="E172" s="42"/>
      <c r="F172" s="42"/>
      <c r="G172" s="42"/>
      <c r="H172" s="42"/>
      <c r="I172" s="42"/>
      <c r="J172" s="42"/>
      <c r="K172" s="42"/>
    </row>
    <row r="173" spans="1:11">
      <c r="A173" s="37" t="s">
        <v>18</v>
      </c>
      <c r="B173" s="96"/>
      <c r="C173" s="38" t="s">
        <v>227</v>
      </c>
      <c r="D173" s="39">
        <v>25400</v>
      </c>
      <c r="E173" s="39">
        <v>19050</v>
      </c>
      <c r="F173" s="39"/>
      <c r="G173" s="39"/>
      <c r="H173" s="39"/>
      <c r="I173" s="39">
        <v>11400</v>
      </c>
      <c r="J173" s="39">
        <f>D173-I173</f>
        <v>14000</v>
      </c>
      <c r="K173" s="39">
        <f>E173-I173</f>
        <v>7650</v>
      </c>
    </row>
    <row r="174" spans="1:11">
      <c r="A174" s="37" t="s">
        <v>21</v>
      </c>
      <c r="B174" s="96"/>
      <c r="C174" s="38" t="s">
        <v>269</v>
      </c>
      <c r="D174" s="39">
        <v>13050</v>
      </c>
      <c r="E174" s="39">
        <v>9750</v>
      </c>
      <c r="F174" s="39"/>
      <c r="G174" s="39"/>
      <c r="H174" s="39"/>
      <c r="I174" s="39">
        <v>3130</v>
      </c>
      <c r="J174" s="39">
        <f>D174-I174</f>
        <v>9920</v>
      </c>
      <c r="K174" s="39">
        <f>E174-I174</f>
        <v>6620</v>
      </c>
    </row>
    <row r="175" spans="1:11">
      <c r="A175" s="37"/>
      <c r="B175" s="96"/>
      <c r="C175" s="38"/>
      <c r="D175" s="39"/>
      <c r="E175" s="39"/>
      <c r="F175" s="39"/>
      <c r="G175" s="39"/>
      <c r="H175" s="39"/>
      <c r="I175" s="39"/>
      <c r="J175" s="39"/>
      <c r="K175" s="39"/>
    </row>
    <row r="176" spans="1:11" s="101" customFormat="1">
      <c r="A176" s="70" t="s">
        <v>151</v>
      </c>
      <c r="B176" s="100"/>
      <c r="C176" s="41"/>
      <c r="D176" s="42">
        <f>D177+D178+D179</f>
        <v>80784</v>
      </c>
      <c r="E176" s="42">
        <f t="shared" ref="E176:K176" si="52">E177+E178+E179</f>
        <v>60588</v>
      </c>
      <c r="F176" s="42">
        <f t="shared" si="52"/>
        <v>0</v>
      </c>
      <c r="G176" s="42">
        <f t="shared" si="52"/>
        <v>0</v>
      </c>
      <c r="H176" s="42">
        <f t="shared" si="52"/>
        <v>0</v>
      </c>
      <c r="I176" s="42">
        <f t="shared" si="52"/>
        <v>34243.440000000002</v>
      </c>
      <c r="J176" s="42">
        <f t="shared" si="52"/>
        <v>46540.56</v>
      </c>
      <c r="K176" s="42">
        <f t="shared" si="52"/>
        <v>26344.559999999998</v>
      </c>
    </row>
    <row r="177" spans="1:11">
      <c r="A177" s="37" t="s">
        <v>17</v>
      </c>
      <c r="B177" s="96"/>
      <c r="C177" s="38" t="s">
        <v>270</v>
      </c>
      <c r="D177" s="39">
        <v>11948</v>
      </c>
      <c r="E177" s="39">
        <v>8961</v>
      </c>
      <c r="F177" s="39"/>
      <c r="G177" s="39"/>
      <c r="H177" s="39"/>
      <c r="I177" s="39">
        <f>620.68+4542.76</f>
        <v>5163.4400000000005</v>
      </c>
      <c r="J177" s="39">
        <f>D177-I177</f>
        <v>6784.5599999999995</v>
      </c>
      <c r="K177" s="39">
        <f>E177-I177</f>
        <v>3797.5599999999995</v>
      </c>
    </row>
    <row r="178" spans="1:11">
      <c r="A178" s="37" t="s">
        <v>20</v>
      </c>
      <c r="B178" s="96"/>
      <c r="C178" s="38" t="s">
        <v>228</v>
      </c>
      <c r="D178" s="39">
        <v>6252</v>
      </c>
      <c r="E178" s="39">
        <v>4689</v>
      </c>
      <c r="F178" s="39"/>
      <c r="G178" s="39"/>
      <c r="H178" s="39"/>
      <c r="I178" s="39">
        <v>0</v>
      </c>
      <c r="J178" s="39">
        <f>D178-I178</f>
        <v>6252</v>
      </c>
      <c r="K178" s="39">
        <f>E178-I178</f>
        <v>4689</v>
      </c>
    </row>
    <row r="179" spans="1:11">
      <c r="A179" s="37" t="s">
        <v>21</v>
      </c>
      <c r="B179" s="96"/>
      <c r="C179" s="38" t="s">
        <v>271</v>
      </c>
      <c r="D179" s="39">
        <v>62584</v>
      </c>
      <c r="E179" s="39">
        <v>46938</v>
      </c>
      <c r="F179" s="39"/>
      <c r="G179" s="39"/>
      <c r="H179" s="39"/>
      <c r="I179" s="39">
        <v>29080</v>
      </c>
      <c r="J179" s="39">
        <f>D179-I179</f>
        <v>33504</v>
      </c>
      <c r="K179" s="39">
        <f>E179-I179</f>
        <v>17858</v>
      </c>
    </row>
    <row r="180" spans="1:11" hidden="1">
      <c r="A180" s="37" t="s">
        <v>23</v>
      </c>
      <c r="B180" s="96"/>
      <c r="C180" s="87" t="s">
        <v>38</v>
      </c>
      <c r="D180" s="39"/>
      <c r="E180" s="39"/>
      <c r="F180" s="39"/>
      <c r="G180" s="39"/>
      <c r="H180" s="39"/>
      <c r="I180" s="39"/>
      <c r="J180" s="39">
        <f>D180-I180</f>
        <v>0</v>
      </c>
      <c r="K180" s="39">
        <f>E180-I180</f>
        <v>0</v>
      </c>
    </row>
    <row r="181" spans="1:11">
      <c r="A181" s="124" t="s">
        <v>169</v>
      </c>
      <c r="B181" s="96"/>
      <c r="C181" s="38" t="s">
        <v>229</v>
      </c>
      <c r="D181" s="39">
        <v>17634</v>
      </c>
      <c r="E181" s="39">
        <v>13225</v>
      </c>
      <c r="F181" s="39"/>
      <c r="G181" s="39"/>
      <c r="H181" s="39"/>
      <c r="I181" s="39">
        <v>0</v>
      </c>
      <c r="J181" s="39">
        <f>D181-I181</f>
        <v>17634</v>
      </c>
      <c r="K181" s="39">
        <f>E181-I181</f>
        <v>13225</v>
      </c>
    </row>
    <row r="182" spans="1:11">
      <c r="A182" s="124"/>
      <c r="B182" s="96"/>
      <c r="C182" s="38"/>
      <c r="D182" s="39"/>
      <c r="E182" s="39"/>
      <c r="F182" s="39"/>
      <c r="G182" s="39"/>
      <c r="H182" s="39"/>
      <c r="I182" s="39"/>
      <c r="J182" s="39"/>
      <c r="K182" s="39"/>
    </row>
    <row r="183" spans="1:11" s="102" customFormat="1">
      <c r="A183" s="52" t="s">
        <v>172</v>
      </c>
      <c r="B183" s="51"/>
      <c r="C183" s="44" t="s">
        <v>173</v>
      </c>
      <c r="D183" s="45">
        <f t="shared" ref="D183:K183" si="53">D184+D216</f>
        <v>2268424</v>
      </c>
      <c r="E183" s="45">
        <f t="shared" si="53"/>
        <v>1847623</v>
      </c>
      <c r="F183" s="45" t="e">
        <f t="shared" si="53"/>
        <v>#REF!</v>
      </c>
      <c r="G183" s="45" t="e">
        <f t="shared" si="53"/>
        <v>#REF!</v>
      </c>
      <c r="H183" s="45" t="e">
        <f t="shared" si="53"/>
        <v>#REF!</v>
      </c>
      <c r="I183" s="45">
        <f t="shared" si="53"/>
        <v>1666254</v>
      </c>
      <c r="J183" s="45">
        <f t="shared" si="53"/>
        <v>602170</v>
      </c>
      <c r="K183" s="45">
        <f t="shared" si="53"/>
        <v>181369</v>
      </c>
    </row>
    <row r="184" spans="1:11" s="102" customFormat="1" ht="84" customHeight="1">
      <c r="A184" s="138" t="s">
        <v>170</v>
      </c>
      <c r="B184" s="51"/>
      <c r="C184" s="44"/>
      <c r="D184" s="45">
        <f>D185+D195+D204+D206+D208</f>
        <v>1810294</v>
      </c>
      <c r="E184" s="45">
        <f t="shared" ref="E184:K184" si="54">E185+E195+E204+E206+E208</f>
        <v>1494793</v>
      </c>
      <c r="F184" s="45">
        <f t="shared" si="54"/>
        <v>1874</v>
      </c>
      <c r="G184" s="45">
        <f t="shared" si="54"/>
        <v>0</v>
      </c>
      <c r="H184" s="45">
        <f t="shared" si="54"/>
        <v>0</v>
      </c>
      <c r="I184" s="45">
        <f t="shared" si="54"/>
        <v>1319562</v>
      </c>
      <c r="J184" s="45">
        <f t="shared" si="54"/>
        <v>490732</v>
      </c>
      <c r="K184" s="45">
        <f t="shared" si="54"/>
        <v>175231</v>
      </c>
    </row>
    <row r="185" spans="1:11" s="108" customFormat="1">
      <c r="A185" s="122" t="s">
        <v>159</v>
      </c>
      <c r="B185" s="107"/>
      <c r="C185" s="53"/>
      <c r="D185" s="54">
        <f>D186+D191+D194</f>
        <v>1096341</v>
      </c>
      <c r="E185" s="54">
        <f t="shared" ref="E185:K185" si="55">E186+E191+E194</f>
        <v>824505</v>
      </c>
      <c r="F185" s="54">
        <f t="shared" si="55"/>
        <v>1874</v>
      </c>
      <c r="G185" s="54">
        <f t="shared" si="55"/>
        <v>0</v>
      </c>
      <c r="H185" s="54">
        <f t="shared" si="55"/>
        <v>0</v>
      </c>
      <c r="I185" s="54">
        <f t="shared" si="55"/>
        <v>761505</v>
      </c>
      <c r="J185" s="54">
        <f t="shared" si="55"/>
        <v>334836</v>
      </c>
      <c r="K185" s="54">
        <f t="shared" si="55"/>
        <v>63000</v>
      </c>
    </row>
    <row r="186" spans="1:11">
      <c r="A186" s="37" t="s">
        <v>27</v>
      </c>
      <c r="B186" s="100"/>
      <c r="C186" s="38" t="s">
        <v>231</v>
      </c>
      <c r="D186" s="39">
        <f>853145-15518</f>
        <v>837627</v>
      </c>
      <c r="E186" s="39">
        <v>629422</v>
      </c>
      <c r="F186" s="39"/>
      <c r="G186" s="39"/>
      <c r="H186" s="39"/>
      <c r="I186" s="39">
        <v>569422</v>
      </c>
      <c r="J186" s="39">
        <f>D186-I186</f>
        <v>268205</v>
      </c>
      <c r="K186" s="39">
        <f>E186-I186</f>
        <v>60000</v>
      </c>
    </row>
    <row r="187" spans="1:11" ht="22.5" hidden="1">
      <c r="A187" s="46" t="s">
        <v>28</v>
      </c>
      <c r="B187" s="96"/>
      <c r="C187" s="38" t="s">
        <v>112</v>
      </c>
      <c r="D187" s="39"/>
      <c r="E187" s="39"/>
      <c r="F187" s="39"/>
      <c r="G187" s="39"/>
      <c r="H187" s="39"/>
      <c r="I187" s="39"/>
      <c r="J187" s="39">
        <f>D187-I187</f>
        <v>0</v>
      </c>
      <c r="K187" s="39">
        <f>E187-I187</f>
        <v>0</v>
      </c>
    </row>
    <row r="188" spans="1:11" ht="22.5">
      <c r="A188" s="46" t="s">
        <v>28</v>
      </c>
      <c r="B188" s="96"/>
      <c r="C188" s="38" t="s">
        <v>230</v>
      </c>
      <c r="D188" s="39">
        <v>2000</v>
      </c>
      <c r="E188" s="39">
        <v>2000</v>
      </c>
      <c r="F188" s="39"/>
      <c r="G188" s="39"/>
      <c r="H188" s="39"/>
      <c r="I188" s="39">
        <v>0</v>
      </c>
      <c r="J188" s="39">
        <f>D188-I188</f>
        <v>2000</v>
      </c>
      <c r="K188" s="39">
        <f>E188-I188</f>
        <v>2000</v>
      </c>
    </row>
    <row r="189" spans="1:11" ht="22.5">
      <c r="A189" s="46" t="s">
        <v>29</v>
      </c>
      <c r="B189" s="96"/>
      <c r="C189" s="38" t="s">
        <v>232</v>
      </c>
      <c r="D189" s="39">
        <v>3750</v>
      </c>
      <c r="E189" s="39">
        <v>3000</v>
      </c>
      <c r="F189" s="39">
        <v>937</v>
      </c>
      <c r="G189" s="39"/>
      <c r="H189" s="39"/>
      <c r="I189" s="39">
        <v>2000</v>
      </c>
      <c r="J189" s="39">
        <f t="shared" ref="J189:J200" si="56">D189-I189</f>
        <v>1750</v>
      </c>
      <c r="K189" s="39">
        <f t="shared" ref="K189:K200" si="57">E189-I189</f>
        <v>1000</v>
      </c>
    </row>
    <row r="190" spans="1:11" hidden="1">
      <c r="A190" s="46" t="s">
        <v>131</v>
      </c>
      <c r="B190" s="96"/>
      <c r="C190" s="38" t="s">
        <v>136</v>
      </c>
      <c r="D190" s="39">
        <v>0</v>
      </c>
      <c r="E190" s="39">
        <v>0</v>
      </c>
      <c r="F190" s="39">
        <v>937</v>
      </c>
      <c r="G190" s="39"/>
      <c r="H190" s="39"/>
      <c r="I190" s="39">
        <v>0</v>
      </c>
      <c r="J190" s="39">
        <f>D190-I190</f>
        <v>0</v>
      </c>
      <c r="K190" s="39">
        <f>E190-I190</f>
        <v>0</v>
      </c>
    </row>
    <row r="191" spans="1:11" s="101" customFormat="1">
      <c r="A191" s="47" t="s">
        <v>161</v>
      </c>
      <c r="B191" s="100"/>
      <c r="C191" s="41"/>
      <c r="D191" s="42">
        <f>SUM(D187:D190)</f>
        <v>5750</v>
      </c>
      <c r="E191" s="42">
        <f t="shared" ref="E191:K191" si="58">SUM(E187:E190)</f>
        <v>5000</v>
      </c>
      <c r="F191" s="42">
        <f t="shared" si="58"/>
        <v>1874</v>
      </c>
      <c r="G191" s="42">
        <f t="shared" si="58"/>
        <v>0</v>
      </c>
      <c r="H191" s="42">
        <f t="shared" si="58"/>
        <v>0</v>
      </c>
      <c r="I191" s="42">
        <f t="shared" si="58"/>
        <v>2000</v>
      </c>
      <c r="J191" s="42">
        <f t="shared" si="58"/>
        <v>3750</v>
      </c>
      <c r="K191" s="42">
        <f t="shared" si="58"/>
        <v>3000</v>
      </c>
    </row>
    <row r="192" spans="1:11">
      <c r="A192" s="73" t="s">
        <v>113</v>
      </c>
      <c r="B192" s="96"/>
      <c r="C192" s="38" t="s">
        <v>233</v>
      </c>
      <c r="D192" s="39">
        <f>187692-3414</f>
        <v>184278</v>
      </c>
      <c r="E192" s="39">
        <v>138471</v>
      </c>
      <c r="F192" s="39"/>
      <c r="G192" s="39"/>
      <c r="H192" s="39"/>
      <c r="I192" s="39">
        <v>138471</v>
      </c>
      <c r="J192" s="39">
        <f t="shared" si="56"/>
        <v>45807</v>
      </c>
      <c r="K192" s="39">
        <f t="shared" si="57"/>
        <v>0</v>
      </c>
    </row>
    <row r="193" spans="1:11">
      <c r="A193" s="73" t="s">
        <v>114</v>
      </c>
      <c r="B193" s="96"/>
      <c r="C193" s="38" t="s">
        <v>234</v>
      </c>
      <c r="D193" s="39">
        <f>69958-1272</f>
        <v>68686</v>
      </c>
      <c r="E193" s="39">
        <v>51612</v>
      </c>
      <c r="F193" s="39"/>
      <c r="G193" s="39"/>
      <c r="H193" s="39"/>
      <c r="I193" s="39">
        <v>51612</v>
      </c>
      <c r="J193" s="39">
        <f t="shared" si="56"/>
        <v>17074</v>
      </c>
      <c r="K193" s="39">
        <f t="shared" si="57"/>
        <v>0</v>
      </c>
    </row>
    <row r="194" spans="1:11" s="101" customFormat="1">
      <c r="A194" s="124" t="s">
        <v>160</v>
      </c>
      <c r="B194" s="100"/>
      <c r="C194" s="41"/>
      <c r="D194" s="42">
        <f t="shared" ref="D194:K194" si="59">SUM(D192:D193)</f>
        <v>252964</v>
      </c>
      <c r="E194" s="42">
        <f t="shared" si="59"/>
        <v>190083</v>
      </c>
      <c r="F194" s="42">
        <f t="shared" si="59"/>
        <v>0</v>
      </c>
      <c r="G194" s="42">
        <f t="shared" si="59"/>
        <v>0</v>
      </c>
      <c r="H194" s="42">
        <f t="shared" si="59"/>
        <v>0</v>
      </c>
      <c r="I194" s="42">
        <f t="shared" si="59"/>
        <v>190083</v>
      </c>
      <c r="J194" s="42">
        <f t="shared" si="59"/>
        <v>62881</v>
      </c>
      <c r="K194" s="42">
        <f t="shared" si="59"/>
        <v>0</v>
      </c>
    </row>
    <row r="195" spans="1:11" s="101" customFormat="1">
      <c r="A195" s="124" t="s">
        <v>151</v>
      </c>
      <c r="B195" s="100"/>
      <c r="C195" s="41"/>
      <c r="D195" s="42">
        <f>D196+D197+D201+D202+D203</f>
        <v>672335</v>
      </c>
      <c r="E195" s="42">
        <f t="shared" ref="E195:K195" si="60">E196+E197+E201+E202+E203</f>
        <v>634071</v>
      </c>
      <c r="F195" s="42">
        <f t="shared" si="60"/>
        <v>0</v>
      </c>
      <c r="G195" s="42">
        <f t="shared" si="60"/>
        <v>0</v>
      </c>
      <c r="H195" s="42">
        <f t="shared" si="60"/>
        <v>0</v>
      </c>
      <c r="I195" s="42">
        <f t="shared" si="60"/>
        <v>525441</v>
      </c>
      <c r="J195" s="42">
        <f t="shared" si="60"/>
        <v>146894</v>
      </c>
      <c r="K195" s="42">
        <f t="shared" si="60"/>
        <v>108630</v>
      </c>
    </row>
    <row r="196" spans="1:11">
      <c r="A196" s="37" t="s">
        <v>17</v>
      </c>
      <c r="B196" s="96"/>
      <c r="C196" s="38" t="s">
        <v>235</v>
      </c>
      <c r="D196" s="39">
        <v>8148</v>
      </c>
      <c r="E196" s="39">
        <v>6111</v>
      </c>
      <c r="F196" s="39"/>
      <c r="G196" s="39"/>
      <c r="H196" s="39"/>
      <c r="I196" s="39">
        <v>6111</v>
      </c>
      <c r="J196" s="39">
        <f t="shared" si="56"/>
        <v>2037</v>
      </c>
      <c r="K196" s="39">
        <f t="shared" si="57"/>
        <v>0</v>
      </c>
    </row>
    <row r="197" spans="1:11">
      <c r="A197" s="37" t="s">
        <v>18</v>
      </c>
      <c r="B197" s="96"/>
      <c r="C197" s="38" t="s">
        <v>236</v>
      </c>
      <c r="D197" s="39">
        <v>4864</v>
      </c>
      <c r="E197" s="39">
        <v>4031</v>
      </c>
      <c r="F197" s="39"/>
      <c r="G197" s="39"/>
      <c r="H197" s="39"/>
      <c r="I197" s="39">
        <v>4031</v>
      </c>
      <c r="J197" s="39">
        <f>D197-I197</f>
        <v>833</v>
      </c>
      <c r="K197" s="39">
        <f>E197-I197</f>
        <v>0</v>
      </c>
    </row>
    <row r="198" spans="1:11">
      <c r="A198" s="37" t="s">
        <v>34</v>
      </c>
      <c r="B198" s="96"/>
      <c r="C198" s="38" t="s">
        <v>237</v>
      </c>
      <c r="D198" s="39">
        <v>518803</v>
      </c>
      <c r="E198" s="39">
        <v>518803</v>
      </c>
      <c r="F198" s="39"/>
      <c r="G198" s="39"/>
      <c r="H198" s="39"/>
      <c r="I198" s="39">
        <v>432335</v>
      </c>
      <c r="J198" s="39">
        <f t="shared" si="56"/>
        <v>86468</v>
      </c>
      <c r="K198" s="39">
        <f t="shared" si="57"/>
        <v>86468</v>
      </c>
    </row>
    <row r="199" spans="1:11">
      <c r="A199" s="37" t="s">
        <v>30</v>
      </c>
      <c r="B199" s="96"/>
      <c r="C199" s="38" t="s">
        <v>238</v>
      </c>
      <c r="D199" s="39">
        <f>44873-3738</f>
        <v>41135</v>
      </c>
      <c r="E199" s="39">
        <v>29917</v>
      </c>
      <c r="F199" s="39"/>
      <c r="G199" s="39"/>
      <c r="H199" s="39"/>
      <c r="I199" s="39">
        <v>18698</v>
      </c>
      <c r="J199" s="39">
        <f t="shared" si="56"/>
        <v>22437</v>
      </c>
      <c r="K199" s="39">
        <f t="shared" si="57"/>
        <v>11219</v>
      </c>
    </row>
    <row r="200" spans="1:11">
      <c r="A200" s="37" t="s">
        <v>31</v>
      </c>
      <c r="B200" s="96"/>
      <c r="C200" s="38" t="s">
        <v>239</v>
      </c>
      <c r="D200" s="39">
        <f>7765+3738</f>
        <v>11503</v>
      </c>
      <c r="E200" s="39">
        <v>9561</v>
      </c>
      <c r="F200" s="39"/>
      <c r="G200" s="39"/>
      <c r="H200" s="39"/>
      <c r="I200" s="39">
        <v>9561</v>
      </c>
      <c r="J200" s="39">
        <f t="shared" si="56"/>
        <v>1942</v>
      </c>
      <c r="K200" s="39">
        <f t="shared" si="57"/>
        <v>0</v>
      </c>
    </row>
    <row r="201" spans="1:11" s="101" customFormat="1">
      <c r="A201" s="122" t="s">
        <v>19</v>
      </c>
      <c r="B201" s="100"/>
      <c r="C201" s="41"/>
      <c r="D201" s="42">
        <f t="shared" ref="D201:K201" si="61">SUM(D198:D200)</f>
        <v>571441</v>
      </c>
      <c r="E201" s="42">
        <f t="shared" si="61"/>
        <v>558281</v>
      </c>
      <c r="F201" s="42">
        <f t="shared" si="61"/>
        <v>0</v>
      </c>
      <c r="G201" s="42">
        <f t="shared" si="61"/>
        <v>0</v>
      </c>
      <c r="H201" s="42">
        <f t="shared" si="61"/>
        <v>0</v>
      </c>
      <c r="I201" s="42">
        <f t="shared" si="61"/>
        <v>460594</v>
      </c>
      <c r="J201" s="42">
        <f t="shared" si="61"/>
        <v>110847</v>
      </c>
      <c r="K201" s="42">
        <f t="shared" si="61"/>
        <v>97687</v>
      </c>
    </row>
    <row r="202" spans="1:11">
      <c r="A202" s="37" t="s">
        <v>20</v>
      </c>
      <c r="B202" s="96"/>
      <c r="C202" s="38" t="s">
        <v>240</v>
      </c>
      <c r="D202" s="39">
        <v>45133</v>
      </c>
      <c r="E202" s="39">
        <v>33849</v>
      </c>
      <c r="F202" s="39"/>
      <c r="G202" s="39"/>
      <c r="H202" s="39"/>
      <c r="I202" s="39">
        <v>33849</v>
      </c>
      <c r="J202" s="39">
        <f>D202-I202</f>
        <v>11284</v>
      </c>
      <c r="K202" s="39">
        <f>E202-I202</f>
        <v>0</v>
      </c>
    </row>
    <row r="203" spans="1:11">
      <c r="A203" s="37" t="s">
        <v>21</v>
      </c>
      <c r="B203" s="96"/>
      <c r="C203" s="38" t="s">
        <v>241</v>
      </c>
      <c r="D203" s="39">
        <v>42749</v>
      </c>
      <c r="E203" s="39">
        <v>31799</v>
      </c>
      <c r="F203" s="39"/>
      <c r="G203" s="39"/>
      <c r="H203" s="39"/>
      <c r="I203" s="39">
        <v>20856</v>
      </c>
      <c r="J203" s="39">
        <f>D203-I203</f>
        <v>21893</v>
      </c>
      <c r="K203" s="39">
        <f>E203-I203</f>
        <v>10943</v>
      </c>
    </row>
    <row r="204" spans="1:11">
      <c r="A204" s="37" t="s">
        <v>22</v>
      </c>
      <c r="B204" s="96"/>
      <c r="C204" s="38" t="s">
        <v>242</v>
      </c>
      <c r="D204" s="39">
        <v>12420</v>
      </c>
      <c r="E204" s="39">
        <v>9315</v>
      </c>
      <c r="F204" s="39"/>
      <c r="G204" s="39"/>
      <c r="H204" s="39"/>
      <c r="I204" s="39">
        <v>7245</v>
      </c>
      <c r="J204" s="39">
        <f>D204-I204</f>
        <v>5175</v>
      </c>
      <c r="K204" s="39">
        <f>E204-I204</f>
        <v>2070</v>
      </c>
    </row>
    <row r="205" spans="1:11" hidden="1">
      <c r="A205" s="81" t="s">
        <v>23</v>
      </c>
      <c r="B205" s="96"/>
      <c r="C205" s="38" t="s">
        <v>137</v>
      </c>
      <c r="D205" s="39"/>
      <c r="E205" s="39"/>
      <c r="F205" s="39"/>
      <c r="G205" s="39"/>
      <c r="H205" s="39"/>
      <c r="I205" s="39"/>
      <c r="J205" s="39">
        <f>D205-I205</f>
        <v>0</v>
      </c>
      <c r="K205" s="39">
        <f>E205-I205</f>
        <v>0</v>
      </c>
    </row>
    <row r="206" spans="1:11">
      <c r="A206" s="124" t="s">
        <v>169</v>
      </c>
      <c r="B206" s="96"/>
      <c r="C206" s="38" t="s">
        <v>243</v>
      </c>
      <c r="D206" s="39">
        <v>8994</v>
      </c>
      <c r="E206" s="39">
        <v>6698</v>
      </c>
      <c r="F206" s="39"/>
      <c r="G206" s="39"/>
      <c r="H206" s="39"/>
      <c r="I206" s="39">
        <v>5167</v>
      </c>
      <c r="J206" s="39">
        <f>D206-I206</f>
        <v>3827</v>
      </c>
      <c r="K206" s="39">
        <f>E206-I206</f>
        <v>1531</v>
      </c>
    </row>
    <row r="207" spans="1:11">
      <c r="A207" s="124"/>
      <c r="B207" s="96"/>
      <c r="C207" s="38"/>
      <c r="D207" s="39"/>
      <c r="E207" s="39"/>
      <c r="F207" s="39"/>
      <c r="G207" s="39"/>
      <c r="H207" s="39"/>
      <c r="I207" s="39"/>
      <c r="J207" s="39"/>
      <c r="K207" s="39"/>
    </row>
    <row r="208" spans="1:11" s="108" customFormat="1">
      <c r="A208" s="146" t="s">
        <v>294</v>
      </c>
      <c r="B208" s="107"/>
      <c r="C208" s="53"/>
      <c r="D208" s="54">
        <f>D209+D212</f>
        <v>20204</v>
      </c>
      <c r="E208" s="54">
        <f t="shared" ref="E208:K208" si="62">E209+E212</f>
        <v>20204</v>
      </c>
      <c r="F208" s="54">
        <f t="shared" si="62"/>
        <v>0</v>
      </c>
      <c r="G208" s="54">
        <f t="shared" si="62"/>
        <v>0</v>
      </c>
      <c r="H208" s="54">
        <f t="shared" si="62"/>
        <v>0</v>
      </c>
      <c r="I208" s="54">
        <f t="shared" si="62"/>
        <v>20204</v>
      </c>
      <c r="J208" s="54">
        <f t="shared" si="62"/>
        <v>0</v>
      </c>
      <c r="K208" s="54">
        <f t="shared" si="62"/>
        <v>0</v>
      </c>
    </row>
    <row r="209" spans="1:11">
      <c r="A209" s="37" t="s">
        <v>27</v>
      </c>
      <c r="B209" s="100"/>
      <c r="C209" s="38" t="s">
        <v>290</v>
      </c>
      <c r="D209" s="39">
        <v>15518</v>
      </c>
      <c r="E209" s="39">
        <v>15518</v>
      </c>
      <c r="F209" s="39"/>
      <c r="G209" s="39"/>
      <c r="H209" s="39"/>
      <c r="I209" s="39">
        <v>15518</v>
      </c>
      <c r="J209" s="39">
        <f>D209-I209</f>
        <v>0</v>
      </c>
      <c r="K209" s="39">
        <f>E209-I209</f>
        <v>0</v>
      </c>
    </row>
    <row r="210" spans="1:11">
      <c r="A210" s="73" t="s">
        <v>113</v>
      </c>
      <c r="B210" s="96"/>
      <c r="C210" s="38" t="s">
        <v>291</v>
      </c>
      <c r="D210" s="39">
        <v>3414</v>
      </c>
      <c r="E210" s="39">
        <v>3414</v>
      </c>
      <c r="F210" s="39"/>
      <c r="G210" s="39"/>
      <c r="H210" s="39"/>
      <c r="I210" s="39">
        <v>3414</v>
      </c>
      <c r="J210" s="39">
        <f>D210-I210</f>
        <v>0</v>
      </c>
      <c r="K210" s="39">
        <f>E210-I210</f>
        <v>0</v>
      </c>
    </row>
    <row r="211" spans="1:11">
      <c r="A211" s="73" t="s">
        <v>114</v>
      </c>
      <c r="B211" s="96"/>
      <c r="C211" s="38" t="s">
        <v>292</v>
      </c>
      <c r="D211" s="39">
        <v>1272</v>
      </c>
      <c r="E211" s="39">
        <v>1272</v>
      </c>
      <c r="F211" s="39"/>
      <c r="G211" s="39"/>
      <c r="H211" s="39"/>
      <c r="I211" s="39">
        <v>1272</v>
      </c>
      <c r="J211" s="39">
        <f>D211-I211</f>
        <v>0</v>
      </c>
      <c r="K211" s="39">
        <f>E211-I211</f>
        <v>0</v>
      </c>
    </row>
    <row r="212" spans="1:11" s="108" customFormat="1">
      <c r="A212" s="124" t="s">
        <v>160</v>
      </c>
      <c r="B212" s="100"/>
      <c r="C212" s="41"/>
      <c r="D212" s="54">
        <f>SUM(D210:D211)</f>
        <v>4686</v>
      </c>
      <c r="E212" s="54">
        <f t="shared" ref="E212:K212" si="63">SUM(E210:E211)</f>
        <v>4686</v>
      </c>
      <c r="F212" s="54">
        <f t="shared" si="63"/>
        <v>0</v>
      </c>
      <c r="G212" s="54">
        <f t="shared" si="63"/>
        <v>0</v>
      </c>
      <c r="H212" s="54">
        <f t="shared" si="63"/>
        <v>0</v>
      </c>
      <c r="I212" s="54">
        <f t="shared" si="63"/>
        <v>4686</v>
      </c>
      <c r="J212" s="54">
        <f t="shared" si="63"/>
        <v>0</v>
      </c>
      <c r="K212" s="54">
        <f t="shared" si="63"/>
        <v>0</v>
      </c>
    </row>
    <row r="213" spans="1:11" hidden="1">
      <c r="A213" s="73" t="s">
        <v>114</v>
      </c>
      <c r="B213" s="96"/>
      <c r="C213" s="38" t="s">
        <v>289</v>
      </c>
      <c r="D213" s="39">
        <v>1272</v>
      </c>
      <c r="E213" s="39">
        <v>1272</v>
      </c>
      <c r="F213" s="39"/>
      <c r="G213" s="39"/>
      <c r="H213" s="39"/>
      <c r="I213" s="39"/>
      <c r="J213" s="39">
        <f>D213-I213</f>
        <v>1272</v>
      </c>
      <c r="K213" s="39">
        <f>E213-I213</f>
        <v>1272</v>
      </c>
    </row>
    <row r="214" spans="1:11" s="101" customFormat="1" hidden="1">
      <c r="A214" s="124" t="s">
        <v>160</v>
      </c>
      <c r="B214" s="100"/>
      <c r="C214" s="41"/>
      <c r="D214" s="42">
        <f t="shared" ref="D214:K214" si="64">SUM(D212:D213)</f>
        <v>5958</v>
      </c>
      <c r="E214" s="42">
        <f t="shared" si="64"/>
        <v>5958</v>
      </c>
      <c r="F214" s="42">
        <f t="shared" si="64"/>
        <v>0</v>
      </c>
      <c r="G214" s="42">
        <f t="shared" si="64"/>
        <v>0</v>
      </c>
      <c r="H214" s="42">
        <f t="shared" si="64"/>
        <v>0</v>
      </c>
      <c r="I214" s="42">
        <f t="shared" si="64"/>
        <v>4686</v>
      </c>
      <c r="J214" s="42">
        <f t="shared" si="64"/>
        <v>1272</v>
      </c>
      <c r="K214" s="42">
        <f t="shared" si="64"/>
        <v>1272</v>
      </c>
    </row>
    <row r="215" spans="1:11" s="102" customFormat="1">
      <c r="A215" s="43"/>
      <c r="B215" s="51"/>
      <c r="C215" s="44"/>
      <c r="D215" s="45"/>
      <c r="E215" s="45"/>
      <c r="F215" s="45"/>
      <c r="G215" s="45"/>
      <c r="H215" s="45"/>
      <c r="I215" s="45"/>
      <c r="J215" s="45"/>
      <c r="K215" s="45"/>
    </row>
    <row r="216" spans="1:11" s="102" customFormat="1" ht="84.75" customHeight="1">
      <c r="A216" s="138" t="s">
        <v>171</v>
      </c>
      <c r="B216" s="51"/>
      <c r="C216" s="44"/>
      <c r="D216" s="45">
        <f>D217+D225+D231+D233+D235</f>
        <v>458130</v>
      </c>
      <c r="E216" s="45">
        <f t="shared" ref="E216:K216" si="65">E217+E225+E231+E233+E235</f>
        <v>352830</v>
      </c>
      <c r="F216" s="45" t="e">
        <f t="shared" si="65"/>
        <v>#REF!</v>
      </c>
      <c r="G216" s="45" t="e">
        <f t="shared" si="65"/>
        <v>#REF!</v>
      </c>
      <c r="H216" s="45" t="e">
        <f t="shared" si="65"/>
        <v>#REF!</v>
      </c>
      <c r="I216" s="45">
        <f t="shared" si="65"/>
        <v>346692</v>
      </c>
      <c r="J216" s="45">
        <f t="shared" si="65"/>
        <v>111438</v>
      </c>
      <c r="K216" s="45">
        <f t="shared" si="65"/>
        <v>6138</v>
      </c>
    </row>
    <row r="217" spans="1:11">
      <c r="A217" s="122" t="s">
        <v>159</v>
      </c>
      <c r="B217" s="96"/>
      <c r="C217" s="38"/>
      <c r="D217" s="39">
        <f>D218+D221+D224</f>
        <v>415555</v>
      </c>
      <c r="E217" s="39">
        <f t="shared" ref="E217:K217" si="66">E218+E221+E224</f>
        <v>315153</v>
      </c>
      <c r="F217" s="39" t="e">
        <f t="shared" si="66"/>
        <v>#REF!</v>
      </c>
      <c r="G217" s="39" t="e">
        <f t="shared" si="66"/>
        <v>#REF!</v>
      </c>
      <c r="H217" s="39" t="e">
        <f t="shared" si="66"/>
        <v>#REF!</v>
      </c>
      <c r="I217" s="39">
        <f t="shared" si="66"/>
        <v>314653</v>
      </c>
      <c r="J217" s="39">
        <f t="shared" si="66"/>
        <v>100902</v>
      </c>
      <c r="K217" s="39">
        <f t="shared" si="66"/>
        <v>500</v>
      </c>
    </row>
    <row r="218" spans="1:11">
      <c r="A218" s="37" t="s">
        <v>27</v>
      </c>
      <c r="B218" s="100"/>
      <c r="C218" s="38" t="s">
        <v>244</v>
      </c>
      <c r="D218" s="39">
        <f>325212-7759</f>
        <v>317453</v>
      </c>
      <c r="E218" s="39">
        <v>240897</v>
      </c>
      <c r="F218" s="39" t="e">
        <f>#REF!+#REF!+#REF!+#REF!+#REF!+#REF!+#REF!</f>
        <v>#REF!</v>
      </c>
      <c r="G218" s="39" t="e">
        <f>#REF!+#REF!+#REF!+#REF!+#REF!+#REF!+#REF!</f>
        <v>#REF!</v>
      </c>
      <c r="H218" s="39" t="e">
        <f>#REF!+#REF!+#REF!+#REF!+#REF!+#REF!+#REF!</f>
        <v>#REF!</v>
      </c>
      <c r="I218" s="39">
        <v>240897</v>
      </c>
      <c r="J218" s="39">
        <f>D218-I218</f>
        <v>76556</v>
      </c>
      <c r="K218" s="39">
        <f>E218-I218</f>
        <v>0</v>
      </c>
    </row>
    <row r="219" spans="1:11" ht="22.5">
      <c r="A219" s="46" t="s">
        <v>28</v>
      </c>
      <c r="B219" s="96"/>
      <c r="C219" s="38" t="s">
        <v>245</v>
      </c>
      <c r="D219" s="39">
        <v>0</v>
      </c>
      <c r="E219" s="39">
        <v>0</v>
      </c>
      <c r="F219" s="39" t="e">
        <f>#REF!</f>
        <v>#REF!</v>
      </c>
      <c r="G219" s="39" t="e">
        <f>#REF!</f>
        <v>#REF!</v>
      </c>
      <c r="H219" s="39" t="e">
        <f>#REF!</f>
        <v>#REF!</v>
      </c>
      <c r="I219" s="39"/>
      <c r="J219" s="39">
        <f>D219-I219</f>
        <v>0</v>
      </c>
      <c r="K219" s="39">
        <f>E219-I219</f>
        <v>0</v>
      </c>
    </row>
    <row r="220" spans="1:11" ht="22.5">
      <c r="A220" s="46" t="s">
        <v>29</v>
      </c>
      <c r="B220" s="96"/>
      <c r="C220" s="38" t="s">
        <v>246</v>
      </c>
      <c r="D220" s="39">
        <v>2000</v>
      </c>
      <c r="E220" s="39">
        <v>1500</v>
      </c>
      <c r="F220" s="39" t="e">
        <f>#REF!</f>
        <v>#REF!</v>
      </c>
      <c r="G220" s="39" t="e">
        <f>#REF!</f>
        <v>#REF!</v>
      </c>
      <c r="H220" s="39" t="e">
        <f>#REF!</f>
        <v>#REF!</v>
      </c>
      <c r="I220" s="39">
        <v>1000</v>
      </c>
      <c r="J220" s="39">
        <f>D220-I220</f>
        <v>1000</v>
      </c>
      <c r="K220" s="39">
        <f>E220-I220</f>
        <v>500</v>
      </c>
    </row>
    <row r="221" spans="1:11" s="109" customFormat="1">
      <c r="A221" s="47" t="s">
        <v>161</v>
      </c>
      <c r="B221" s="100"/>
      <c r="C221" s="41"/>
      <c r="D221" s="54">
        <f>SUM(D219:D220)</f>
        <v>2000</v>
      </c>
      <c r="E221" s="54">
        <f t="shared" ref="E221:K221" si="67">SUM(E219:E220)</f>
        <v>1500</v>
      </c>
      <c r="F221" s="54" t="e">
        <f t="shared" si="67"/>
        <v>#REF!</v>
      </c>
      <c r="G221" s="54" t="e">
        <f t="shared" si="67"/>
        <v>#REF!</v>
      </c>
      <c r="H221" s="54" t="e">
        <f t="shared" si="67"/>
        <v>#REF!</v>
      </c>
      <c r="I221" s="54">
        <f t="shared" si="67"/>
        <v>1000</v>
      </c>
      <c r="J221" s="54">
        <f t="shared" si="67"/>
        <v>1000</v>
      </c>
      <c r="K221" s="54">
        <f t="shared" si="67"/>
        <v>500</v>
      </c>
    </row>
    <row r="222" spans="1:11">
      <c r="A222" s="73" t="s">
        <v>113</v>
      </c>
      <c r="B222" s="96"/>
      <c r="C222" s="38" t="s">
        <v>247</v>
      </c>
      <c r="D222" s="39">
        <f>71547-1629</f>
        <v>69918</v>
      </c>
      <c r="E222" s="39">
        <v>53001</v>
      </c>
      <c r="F222" s="39" t="e">
        <f>#REF!+#REF!+#REF!+#REF!+#REF!+#REF!</f>
        <v>#REF!</v>
      </c>
      <c r="G222" s="39" t="e">
        <f>#REF!+#REF!+#REF!+#REF!+#REF!+#REF!</f>
        <v>#REF!</v>
      </c>
      <c r="H222" s="39" t="e">
        <f>#REF!+#REF!+#REF!+#REF!+#REF!+#REF!</f>
        <v>#REF!</v>
      </c>
      <c r="I222" s="39">
        <v>53001</v>
      </c>
      <c r="J222" s="39">
        <f>D222-I222</f>
        <v>16917</v>
      </c>
      <c r="K222" s="39">
        <f>E222-I222</f>
        <v>0</v>
      </c>
    </row>
    <row r="223" spans="1:11">
      <c r="A223" s="73" t="s">
        <v>114</v>
      </c>
      <c r="B223" s="96"/>
      <c r="C223" s="38" t="s">
        <v>248</v>
      </c>
      <c r="D223" s="39">
        <f>26667-483</f>
        <v>26184</v>
      </c>
      <c r="E223" s="39">
        <v>19755</v>
      </c>
      <c r="F223" s="39" t="e">
        <f>#REF!+#REF!+#REF!+#REF!+#REF!+#REF!</f>
        <v>#REF!</v>
      </c>
      <c r="G223" s="39" t="e">
        <f>#REF!+#REF!+#REF!+#REF!+#REF!+#REF!</f>
        <v>#REF!</v>
      </c>
      <c r="H223" s="39" t="e">
        <f>#REF!+#REF!+#REF!+#REF!+#REF!+#REF!</f>
        <v>#REF!</v>
      </c>
      <c r="I223" s="39">
        <v>19755</v>
      </c>
      <c r="J223" s="39">
        <f>D223-I223</f>
        <v>6429</v>
      </c>
      <c r="K223" s="39">
        <f>E223-I223</f>
        <v>0</v>
      </c>
    </row>
    <row r="224" spans="1:11" s="108" customFormat="1">
      <c r="A224" s="124" t="s">
        <v>160</v>
      </c>
      <c r="B224" s="100"/>
      <c r="C224" s="41"/>
      <c r="D224" s="54">
        <f>SUM(D222:D223)</f>
        <v>96102</v>
      </c>
      <c r="E224" s="54">
        <f t="shared" ref="E224:K224" si="68">SUM(E222:E223)</f>
        <v>72756</v>
      </c>
      <c r="F224" s="54" t="e">
        <f t="shared" si="68"/>
        <v>#REF!</v>
      </c>
      <c r="G224" s="54" t="e">
        <f t="shared" si="68"/>
        <v>#REF!</v>
      </c>
      <c r="H224" s="54" t="e">
        <f t="shared" si="68"/>
        <v>#REF!</v>
      </c>
      <c r="I224" s="54">
        <f t="shared" si="68"/>
        <v>72756</v>
      </c>
      <c r="J224" s="54">
        <f t="shared" si="68"/>
        <v>23346</v>
      </c>
      <c r="K224" s="54">
        <f t="shared" si="68"/>
        <v>0</v>
      </c>
    </row>
    <row r="225" spans="1:11" s="108" customFormat="1">
      <c r="A225" s="124" t="s">
        <v>151</v>
      </c>
      <c r="B225" s="100"/>
      <c r="C225" s="41"/>
      <c r="D225" s="54">
        <f t="shared" ref="D225:K225" si="69">D226+D227+D230+D229</f>
        <v>18118</v>
      </c>
      <c r="E225" s="54">
        <f t="shared" si="69"/>
        <v>17993</v>
      </c>
      <c r="F225" s="54" t="e">
        <f t="shared" si="69"/>
        <v>#REF!</v>
      </c>
      <c r="G225" s="54" t="e">
        <f t="shared" si="69"/>
        <v>#REF!</v>
      </c>
      <c r="H225" s="54" t="e">
        <f t="shared" si="69"/>
        <v>#REF!</v>
      </c>
      <c r="I225" s="54">
        <f t="shared" si="69"/>
        <v>15376</v>
      </c>
      <c r="J225" s="54">
        <f t="shared" si="69"/>
        <v>2742</v>
      </c>
      <c r="K225" s="54">
        <f t="shared" si="69"/>
        <v>2617</v>
      </c>
    </row>
    <row r="226" spans="1:11">
      <c r="A226" s="37" t="s">
        <v>17</v>
      </c>
      <c r="B226" s="96"/>
      <c r="C226" s="38" t="s">
        <v>249</v>
      </c>
      <c r="D226" s="39">
        <v>500</v>
      </c>
      <c r="E226" s="39">
        <v>375</v>
      </c>
      <c r="F226" s="39" t="e">
        <f>#REF!</f>
        <v>#REF!</v>
      </c>
      <c r="G226" s="39" t="e">
        <f>#REF!</f>
        <v>#REF!</v>
      </c>
      <c r="H226" s="39" t="e">
        <f>#REF!</f>
        <v>#REF!</v>
      </c>
      <c r="I226" s="39">
        <v>250</v>
      </c>
      <c r="J226" s="39">
        <f t="shared" ref="J226:J233" si="70">D226-I226</f>
        <v>250</v>
      </c>
      <c r="K226" s="39">
        <f t="shared" ref="K226:K233" si="71">E226-I226</f>
        <v>125</v>
      </c>
    </row>
    <row r="227" spans="1:11">
      <c r="A227" s="37" t="s">
        <v>18</v>
      </c>
      <c r="B227" s="96"/>
      <c r="C227" s="38" t="s">
        <v>250</v>
      </c>
      <c r="D227" s="39">
        <v>1664</v>
      </c>
      <c r="E227" s="39">
        <v>1664</v>
      </c>
      <c r="F227" s="39" t="e">
        <f>#REF!</f>
        <v>#REF!</v>
      </c>
      <c r="G227" s="39" t="e">
        <f>#REF!</f>
        <v>#REF!</v>
      </c>
      <c r="H227" s="39" t="e">
        <f>#REF!</f>
        <v>#REF!</v>
      </c>
      <c r="I227" s="39">
        <v>1664</v>
      </c>
      <c r="J227" s="39">
        <f t="shared" si="70"/>
        <v>0</v>
      </c>
      <c r="K227" s="39">
        <f t="shared" si="71"/>
        <v>0</v>
      </c>
    </row>
    <row r="228" spans="1:11" hidden="1">
      <c r="A228" s="37" t="s">
        <v>20</v>
      </c>
      <c r="B228" s="96"/>
      <c r="C228" s="38" t="s">
        <v>138</v>
      </c>
      <c r="D228" s="39">
        <v>0</v>
      </c>
      <c r="E228" s="39">
        <v>0</v>
      </c>
      <c r="F228" s="39" t="e">
        <f>#REF!+#REF!+#REF!</f>
        <v>#REF!</v>
      </c>
      <c r="G228" s="39" t="e">
        <f>#REF!+#REF!+#REF!</f>
        <v>#REF!</v>
      </c>
      <c r="H228" s="39" t="e">
        <f>#REF!+#REF!+#REF!</f>
        <v>#REF!</v>
      </c>
      <c r="I228" s="39">
        <v>0</v>
      </c>
      <c r="J228" s="39">
        <f t="shared" si="70"/>
        <v>0</v>
      </c>
      <c r="K228" s="39">
        <f t="shared" si="71"/>
        <v>0</v>
      </c>
    </row>
    <row r="229" spans="1:11">
      <c r="A229" s="37" t="s">
        <v>20</v>
      </c>
      <c r="B229" s="96"/>
      <c r="C229" s="38" t="s">
        <v>293</v>
      </c>
      <c r="D229" s="39">
        <v>1000</v>
      </c>
      <c r="E229" s="39">
        <v>1000</v>
      </c>
      <c r="F229" s="39" t="e">
        <f>#REF!</f>
        <v>#REF!</v>
      </c>
      <c r="G229" s="39" t="e">
        <f>#REF!</f>
        <v>#REF!</v>
      </c>
      <c r="H229" s="39" t="e">
        <f>#REF!</f>
        <v>#REF!</v>
      </c>
      <c r="I229" s="39">
        <v>1000</v>
      </c>
      <c r="J229" s="39">
        <f>D229-I229</f>
        <v>0</v>
      </c>
      <c r="K229" s="39">
        <f>E229-I229</f>
        <v>0</v>
      </c>
    </row>
    <row r="230" spans="1:11">
      <c r="A230" s="37" t="s">
        <v>21</v>
      </c>
      <c r="B230" s="96"/>
      <c r="C230" s="38" t="s">
        <v>251</v>
      </c>
      <c r="D230" s="39">
        <v>14954</v>
      </c>
      <c r="E230" s="39">
        <v>14954</v>
      </c>
      <c r="F230" s="39" t="e">
        <f>#REF!</f>
        <v>#REF!</v>
      </c>
      <c r="G230" s="39" t="e">
        <f>#REF!</f>
        <v>#REF!</v>
      </c>
      <c r="H230" s="39" t="e">
        <f>#REF!</f>
        <v>#REF!</v>
      </c>
      <c r="I230" s="39">
        <v>12462</v>
      </c>
      <c r="J230" s="39">
        <f t="shared" si="70"/>
        <v>2492</v>
      </c>
      <c r="K230" s="39">
        <f t="shared" si="71"/>
        <v>2492</v>
      </c>
    </row>
    <row r="231" spans="1:11">
      <c r="A231" s="37" t="s">
        <v>22</v>
      </c>
      <c r="B231" s="96"/>
      <c r="C231" s="38" t="s">
        <v>252</v>
      </c>
      <c r="D231" s="39">
        <v>3500</v>
      </c>
      <c r="E231" s="39">
        <v>1750</v>
      </c>
      <c r="F231" s="39" t="e">
        <f>#REF!</f>
        <v>#REF!</v>
      </c>
      <c r="G231" s="39" t="e">
        <f>#REF!</f>
        <v>#REF!</v>
      </c>
      <c r="H231" s="39" t="e">
        <f>#REF!</f>
        <v>#REF!</v>
      </c>
      <c r="I231" s="39">
        <v>1750</v>
      </c>
      <c r="J231" s="39">
        <f t="shared" si="70"/>
        <v>1750</v>
      </c>
      <c r="K231" s="39">
        <f t="shared" si="71"/>
        <v>0</v>
      </c>
    </row>
    <row r="232" spans="1:11" hidden="1">
      <c r="A232" s="81" t="s">
        <v>23</v>
      </c>
      <c r="B232" s="96"/>
      <c r="C232" s="38" t="s">
        <v>139</v>
      </c>
      <c r="D232" s="39"/>
      <c r="E232" s="39"/>
      <c r="F232" s="39"/>
      <c r="G232" s="39"/>
      <c r="H232" s="39"/>
      <c r="I232" s="39"/>
      <c r="J232" s="39">
        <f t="shared" si="70"/>
        <v>0</v>
      </c>
      <c r="K232" s="39">
        <f t="shared" si="71"/>
        <v>0</v>
      </c>
    </row>
    <row r="233" spans="1:11">
      <c r="A233" s="48" t="s">
        <v>115</v>
      </c>
      <c r="B233" s="96"/>
      <c r="C233" s="38" t="s">
        <v>253</v>
      </c>
      <c r="D233" s="39">
        <v>11086</v>
      </c>
      <c r="E233" s="39">
        <v>8063</v>
      </c>
      <c r="F233" s="39" t="e">
        <f>#REF!</f>
        <v>#REF!</v>
      </c>
      <c r="G233" s="39" t="e">
        <f>#REF!</f>
        <v>#REF!</v>
      </c>
      <c r="H233" s="39" t="e">
        <f>#REF!</f>
        <v>#REF!</v>
      </c>
      <c r="I233" s="39">
        <v>5042</v>
      </c>
      <c r="J233" s="39">
        <f t="shared" si="70"/>
        <v>6044</v>
      </c>
      <c r="K233" s="39">
        <f t="shared" si="71"/>
        <v>3021</v>
      </c>
    </row>
    <row r="234" spans="1:11">
      <c r="A234" s="48"/>
      <c r="B234" s="96"/>
      <c r="C234" s="38"/>
      <c r="D234" s="39"/>
      <c r="E234" s="39"/>
      <c r="F234" s="39"/>
      <c r="G234" s="39"/>
      <c r="H234" s="39"/>
      <c r="I234" s="39"/>
      <c r="J234" s="39"/>
      <c r="K234" s="39"/>
    </row>
    <row r="235" spans="1:11" s="108" customFormat="1">
      <c r="A235" s="146" t="s">
        <v>294</v>
      </c>
      <c r="B235" s="107"/>
      <c r="C235" s="53"/>
      <c r="D235" s="54">
        <f>D236+D239</f>
        <v>9871</v>
      </c>
      <c r="E235" s="54">
        <f t="shared" ref="E235:K235" si="72">E236+E239</f>
        <v>9871</v>
      </c>
      <c r="F235" s="54">
        <f t="shared" si="72"/>
        <v>0</v>
      </c>
      <c r="G235" s="54">
        <f t="shared" si="72"/>
        <v>0</v>
      </c>
      <c r="H235" s="54">
        <f t="shared" si="72"/>
        <v>0</v>
      </c>
      <c r="I235" s="54">
        <f t="shared" si="72"/>
        <v>9871</v>
      </c>
      <c r="J235" s="54">
        <f t="shared" si="72"/>
        <v>0</v>
      </c>
      <c r="K235" s="54">
        <f t="shared" si="72"/>
        <v>0</v>
      </c>
    </row>
    <row r="236" spans="1:11">
      <c r="A236" s="37" t="s">
        <v>27</v>
      </c>
      <c r="B236" s="100"/>
      <c r="C236" s="38" t="s">
        <v>290</v>
      </c>
      <c r="D236" s="39">
        <v>7759</v>
      </c>
      <c r="E236" s="39">
        <v>7759</v>
      </c>
      <c r="F236" s="39"/>
      <c r="G236" s="39"/>
      <c r="H236" s="39"/>
      <c r="I236" s="39">
        <v>7759</v>
      </c>
      <c r="J236" s="39">
        <f>D236-I236</f>
        <v>0</v>
      </c>
      <c r="K236" s="39">
        <f>E236-I236</f>
        <v>0</v>
      </c>
    </row>
    <row r="237" spans="1:11">
      <c r="A237" s="73" t="s">
        <v>113</v>
      </c>
      <c r="B237" s="96"/>
      <c r="C237" s="38" t="s">
        <v>291</v>
      </c>
      <c r="D237" s="39">
        <v>1629</v>
      </c>
      <c r="E237" s="39">
        <v>1629</v>
      </c>
      <c r="F237" s="39"/>
      <c r="G237" s="39"/>
      <c r="H237" s="39"/>
      <c r="I237" s="39">
        <v>1629</v>
      </c>
      <c r="J237" s="39">
        <f>D237-I237</f>
        <v>0</v>
      </c>
      <c r="K237" s="39">
        <f>E237-I237</f>
        <v>0</v>
      </c>
    </row>
    <row r="238" spans="1:11">
      <c r="A238" s="73" t="s">
        <v>114</v>
      </c>
      <c r="B238" s="96"/>
      <c r="C238" s="38" t="s">
        <v>292</v>
      </c>
      <c r="D238" s="39">
        <v>483</v>
      </c>
      <c r="E238" s="39">
        <v>483</v>
      </c>
      <c r="F238" s="39"/>
      <c r="G238" s="39"/>
      <c r="H238" s="39"/>
      <c r="I238" s="39">
        <v>483</v>
      </c>
      <c r="J238" s="39">
        <f>D238-I238</f>
        <v>0</v>
      </c>
      <c r="K238" s="39">
        <f>E238-I238</f>
        <v>0</v>
      </c>
    </row>
    <row r="239" spans="1:11" s="108" customFormat="1">
      <c r="A239" s="124" t="s">
        <v>160</v>
      </c>
      <c r="B239" s="100"/>
      <c r="C239" s="41"/>
      <c r="D239" s="54">
        <f>SUM(D237:D238)</f>
        <v>2112</v>
      </c>
      <c r="E239" s="54">
        <f t="shared" ref="E239:K239" si="73">SUM(E237:E238)</f>
        <v>2112</v>
      </c>
      <c r="F239" s="54">
        <f t="shared" si="73"/>
        <v>0</v>
      </c>
      <c r="G239" s="54">
        <f t="shared" si="73"/>
        <v>0</v>
      </c>
      <c r="H239" s="54">
        <f t="shared" si="73"/>
        <v>0</v>
      </c>
      <c r="I239" s="54">
        <f t="shared" si="73"/>
        <v>2112</v>
      </c>
      <c r="J239" s="54">
        <f t="shared" si="73"/>
        <v>0</v>
      </c>
      <c r="K239" s="54">
        <f t="shared" si="73"/>
        <v>0</v>
      </c>
    </row>
    <row r="240" spans="1:11" s="102" customFormat="1">
      <c r="A240" s="52"/>
      <c r="B240" s="51"/>
      <c r="C240" s="44"/>
      <c r="D240" s="45"/>
      <c r="E240" s="45"/>
      <c r="F240" s="45"/>
      <c r="G240" s="45"/>
      <c r="H240" s="45"/>
      <c r="I240" s="45"/>
      <c r="J240" s="45"/>
      <c r="K240" s="45"/>
    </row>
    <row r="241" spans="1:11" ht="12.75">
      <c r="A241" s="139" t="s">
        <v>181</v>
      </c>
      <c r="B241" s="112"/>
      <c r="C241" s="140" t="s">
        <v>184</v>
      </c>
      <c r="D241" s="141">
        <f>D242</f>
        <v>547570</v>
      </c>
      <c r="E241" s="141">
        <f t="shared" ref="E241:K241" si="74">E242</f>
        <v>506070</v>
      </c>
      <c r="F241" s="141" t="e">
        <f t="shared" si="74"/>
        <v>#REF!</v>
      </c>
      <c r="G241" s="141" t="e">
        <f t="shared" si="74"/>
        <v>#REF!</v>
      </c>
      <c r="H241" s="141" t="e">
        <f t="shared" si="74"/>
        <v>#REF!</v>
      </c>
      <c r="I241" s="141">
        <f t="shared" si="74"/>
        <v>464570</v>
      </c>
      <c r="J241" s="141">
        <f t="shared" si="74"/>
        <v>83000</v>
      </c>
      <c r="K241" s="141">
        <f t="shared" si="74"/>
        <v>41500</v>
      </c>
    </row>
    <row r="242" spans="1:11" s="111" customFormat="1" ht="18.75" customHeight="1">
      <c r="A242" s="132" t="s">
        <v>182</v>
      </c>
      <c r="B242" s="110"/>
      <c r="C242" s="133" t="s">
        <v>183</v>
      </c>
      <c r="D242" s="56">
        <f t="shared" ref="D242:I242" si="75">D243+D244+D245+D247+D248+D249+D250+D251</f>
        <v>547570</v>
      </c>
      <c r="E242" s="56">
        <f t="shared" si="75"/>
        <v>506070</v>
      </c>
      <c r="F242" s="56" t="e">
        <f t="shared" si="75"/>
        <v>#REF!</v>
      </c>
      <c r="G242" s="56" t="e">
        <f t="shared" si="75"/>
        <v>#REF!</v>
      </c>
      <c r="H242" s="56" t="e">
        <f t="shared" si="75"/>
        <v>#REF!</v>
      </c>
      <c r="I242" s="56">
        <f t="shared" si="75"/>
        <v>464570</v>
      </c>
      <c r="J242" s="83">
        <f>D242-I242</f>
        <v>83000</v>
      </c>
      <c r="K242" s="83">
        <f>E242-I242</f>
        <v>41500</v>
      </c>
    </row>
    <row r="243" spans="1:11" s="111" customFormat="1" ht="18.75" customHeight="1">
      <c r="A243" s="122" t="s">
        <v>159</v>
      </c>
      <c r="B243" s="112"/>
      <c r="C243" s="38" t="s">
        <v>254</v>
      </c>
      <c r="D243" s="83">
        <f>127496-31874</f>
        <v>95622</v>
      </c>
      <c r="E243" s="83">
        <v>63748</v>
      </c>
      <c r="F243" s="83"/>
      <c r="G243" s="83"/>
      <c r="H243" s="83"/>
      <c r="I243" s="83">
        <v>63748</v>
      </c>
      <c r="J243" s="83">
        <f t="shared" ref="J243:J251" si="76">D243-I243</f>
        <v>31874</v>
      </c>
      <c r="K243" s="83">
        <f t="shared" ref="K243:K251" si="77">E243-I243</f>
        <v>0</v>
      </c>
    </row>
    <row r="244" spans="1:11" s="111" customFormat="1" ht="18.75" customHeight="1">
      <c r="A244" s="73" t="s">
        <v>113</v>
      </c>
      <c r="B244" s="112"/>
      <c r="C244" s="38" t="s">
        <v>255</v>
      </c>
      <c r="D244" s="83">
        <f>28048-7012</f>
        <v>21036</v>
      </c>
      <c r="E244" s="83">
        <v>14024</v>
      </c>
      <c r="F244" s="83"/>
      <c r="G244" s="83"/>
      <c r="H244" s="83"/>
      <c r="I244" s="83">
        <v>14024</v>
      </c>
      <c r="J244" s="83">
        <f t="shared" si="76"/>
        <v>7012</v>
      </c>
      <c r="K244" s="83">
        <f t="shared" si="77"/>
        <v>0</v>
      </c>
    </row>
    <row r="245" spans="1:11" s="111" customFormat="1" ht="18.75" customHeight="1">
      <c r="A245" s="130" t="s">
        <v>114</v>
      </c>
      <c r="B245" s="112"/>
      <c r="C245" s="38" t="s">
        <v>256</v>
      </c>
      <c r="D245" s="83">
        <f>10456-2614</f>
        <v>7842</v>
      </c>
      <c r="E245" s="83">
        <v>5228</v>
      </c>
      <c r="F245" s="83"/>
      <c r="G245" s="83"/>
      <c r="H245" s="83"/>
      <c r="I245" s="83">
        <v>5228</v>
      </c>
      <c r="J245" s="83">
        <f t="shared" si="76"/>
        <v>2614</v>
      </c>
      <c r="K245" s="83">
        <f t="shared" si="77"/>
        <v>0</v>
      </c>
    </row>
    <row r="246" spans="1:11" s="111" customFormat="1" ht="18.75" customHeight="1">
      <c r="A246" s="126" t="s">
        <v>280</v>
      </c>
      <c r="B246" s="110"/>
      <c r="C246" s="53"/>
      <c r="D246" s="56">
        <f>SUM(D244:D245)</f>
        <v>28878</v>
      </c>
      <c r="E246" s="56">
        <f t="shared" ref="E246:K246" si="78">SUM(E244:E245)</f>
        <v>19252</v>
      </c>
      <c r="F246" s="56">
        <f t="shared" si="78"/>
        <v>0</v>
      </c>
      <c r="G246" s="56">
        <f t="shared" si="78"/>
        <v>0</v>
      </c>
      <c r="H246" s="56">
        <f t="shared" si="78"/>
        <v>0</v>
      </c>
      <c r="I246" s="56">
        <f t="shared" si="78"/>
        <v>19252</v>
      </c>
      <c r="J246" s="56">
        <f t="shared" si="78"/>
        <v>9626</v>
      </c>
      <c r="K246" s="56">
        <f t="shared" si="78"/>
        <v>0</v>
      </c>
    </row>
    <row r="247" spans="1:11" ht="15.75" customHeight="1">
      <c r="A247" s="152" t="s">
        <v>22</v>
      </c>
      <c r="B247" s="96"/>
      <c r="C247" s="38" t="s">
        <v>295</v>
      </c>
      <c r="D247" s="39">
        <v>41500</v>
      </c>
      <c r="E247" s="39">
        <v>41500</v>
      </c>
      <c r="F247" s="39"/>
      <c r="G247" s="39"/>
      <c r="H247" s="39"/>
      <c r="I247" s="39"/>
      <c r="J247" s="39">
        <f>D247-I247</f>
        <v>41500</v>
      </c>
      <c r="K247" s="39">
        <f>E247-I247</f>
        <v>41500</v>
      </c>
    </row>
    <row r="248" spans="1:11" s="111" customFormat="1" ht="18.75" customHeight="1">
      <c r="A248" s="152" t="s">
        <v>22</v>
      </c>
      <c r="B248" s="110"/>
      <c r="C248" s="38" t="s">
        <v>285</v>
      </c>
      <c r="D248" s="83">
        <v>25000</v>
      </c>
      <c r="E248" s="83">
        <v>25000</v>
      </c>
      <c r="F248" s="56"/>
      <c r="G248" s="56"/>
      <c r="H248" s="56"/>
      <c r="I248" s="39">
        <v>25000</v>
      </c>
      <c r="J248" s="39">
        <f>D248-I248</f>
        <v>0</v>
      </c>
      <c r="K248" s="39">
        <f>E248-I248</f>
        <v>0</v>
      </c>
    </row>
    <row r="249" spans="1:11" ht="15.75" customHeight="1">
      <c r="A249" s="37" t="s">
        <v>21</v>
      </c>
      <c r="B249" s="96"/>
      <c r="C249" s="38" t="s">
        <v>286</v>
      </c>
      <c r="D249" s="39">
        <v>10000</v>
      </c>
      <c r="E249" s="39">
        <v>10000</v>
      </c>
      <c r="F249" s="39" t="e">
        <f>F218</f>
        <v>#REF!</v>
      </c>
      <c r="G249" s="39" t="e">
        <f>G218</f>
        <v>#REF!</v>
      </c>
      <c r="H249" s="39" t="e">
        <f>H218</f>
        <v>#REF!</v>
      </c>
      <c r="I249" s="39">
        <v>10000</v>
      </c>
      <c r="J249" s="39">
        <f t="shared" si="76"/>
        <v>0</v>
      </c>
      <c r="K249" s="39">
        <f t="shared" si="77"/>
        <v>0</v>
      </c>
    </row>
    <row r="250" spans="1:11" ht="15.75" customHeight="1">
      <c r="A250" s="152" t="s">
        <v>22</v>
      </c>
      <c r="B250" s="96"/>
      <c r="C250" s="38" t="s">
        <v>287</v>
      </c>
      <c r="D250" s="39">
        <v>40000</v>
      </c>
      <c r="E250" s="39">
        <v>40000</v>
      </c>
      <c r="F250" s="39">
        <v>40000</v>
      </c>
      <c r="G250" s="39">
        <v>40000</v>
      </c>
      <c r="H250" s="39">
        <v>40000</v>
      </c>
      <c r="I250" s="39">
        <v>40000</v>
      </c>
      <c r="J250" s="39">
        <f>D250-I250</f>
        <v>0</v>
      </c>
      <c r="K250" s="39">
        <f>E250-I250</f>
        <v>0</v>
      </c>
    </row>
    <row r="251" spans="1:11" s="111" customFormat="1" ht="18.75" customHeight="1">
      <c r="A251" s="37" t="s">
        <v>23</v>
      </c>
      <c r="B251" s="110"/>
      <c r="C251" s="38" t="s">
        <v>288</v>
      </c>
      <c r="D251" s="83">
        <v>306570</v>
      </c>
      <c r="E251" s="83">
        <v>306570</v>
      </c>
      <c r="F251" s="56"/>
      <c r="G251" s="56"/>
      <c r="H251" s="56"/>
      <c r="I251" s="39">
        <v>306570</v>
      </c>
      <c r="J251" s="39">
        <f t="shared" si="76"/>
        <v>0</v>
      </c>
      <c r="K251" s="39">
        <f t="shared" si="77"/>
        <v>0</v>
      </c>
    </row>
    <row r="252" spans="1:11" s="111" customFormat="1" ht="18.75" customHeight="1">
      <c r="A252" s="74"/>
      <c r="B252" s="110"/>
      <c r="C252" s="55"/>
      <c r="D252" s="56"/>
      <c r="E252" s="56"/>
      <c r="F252" s="56"/>
      <c r="G252" s="56"/>
      <c r="H252" s="56"/>
      <c r="I252" s="56"/>
      <c r="J252" s="56"/>
      <c r="K252" s="56"/>
    </row>
    <row r="253" spans="1:11" s="114" customFormat="1" ht="18.75" customHeight="1">
      <c r="A253" s="59" t="s">
        <v>73</v>
      </c>
      <c r="B253" s="113"/>
      <c r="C253" s="57"/>
      <c r="D253" s="58"/>
      <c r="E253" s="58"/>
      <c r="F253" s="58"/>
      <c r="G253" s="58"/>
      <c r="H253" s="58"/>
      <c r="I253" s="58"/>
      <c r="J253" s="58"/>
      <c r="K253" s="58"/>
    </row>
    <row r="254" spans="1:11">
      <c r="A254" s="60" t="s">
        <v>16</v>
      </c>
      <c r="B254" s="96"/>
      <c r="C254" s="61" t="s">
        <v>74</v>
      </c>
      <c r="D254" s="39">
        <f t="shared" ref="D254:K254" si="79">D17+D46+D105</f>
        <v>1296980</v>
      </c>
      <c r="E254" s="39">
        <f t="shared" si="79"/>
        <v>968574.08</v>
      </c>
      <c r="F254" s="39">
        <f t="shared" si="79"/>
        <v>0</v>
      </c>
      <c r="G254" s="39">
        <f t="shared" si="79"/>
        <v>0</v>
      </c>
      <c r="H254" s="39">
        <f t="shared" si="79"/>
        <v>0</v>
      </c>
      <c r="I254" s="39">
        <f t="shared" si="79"/>
        <v>952048.55</v>
      </c>
      <c r="J254" s="39">
        <f t="shared" si="79"/>
        <v>344931.44999999995</v>
      </c>
      <c r="K254" s="39">
        <f t="shared" si="79"/>
        <v>16525.529999999941</v>
      </c>
    </row>
    <row r="255" spans="1:11">
      <c r="A255" s="60" t="s">
        <v>27</v>
      </c>
      <c r="B255" s="96"/>
      <c r="C255" s="61" t="s">
        <v>75</v>
      </c>
      <c r="D255" s="39">
        <f>D47+D165</f>
        <v>1384630</v>
      </c>
      <c r="E255" s="39">
        <f t="shared" ref="E255:K255" si="80">E47+E165</f>
        <v>1044343</v>
      </c>
      <c r="F255" s="39">
        <f t="shared" si="80"/>
        <v>0</v>
      </c>
      <c r="G255" s="39">
        <f t="shared" si="80"/>
        <v>0</v>
      </c>
      <c r="H255" s="39">
        <f t="shared" si="80"/>
        <v>0</v>
      </c>
      <c r="I255" s="39">
        <f t="shared" si="80"/>
        <v>889877</v>
      </c>
      <c r="J255" s="39">
        <f t="shared" si="80"/>
        <v>494753</v>
      </c>
      <c r="K255" s="39">
        <f t="shared" si="80"/>
        <v>154466</v>
      </c>
    </row>
    <row r="256" spans="1:11" s="101" customFormat="1">
      <c r="A256" s="62" t="s">
        <v>91</v>
      </c>
      <c r="B256" s="100"/>
      <c r="C256" s="41"/>
      <c r="D256" s="42">
        <f>SUM(D254:D255)</f>
        <v>2681610</v>
      </c>
      <c r="E256" s="42">
        <f t="shared" ref="E256:K256" si="81">SUM(E254:E255)</f>
        <v>2012917.08</v>
      </c>
      <c r="F256" s="42">
        <f t="shared" si="81"/>
        <v>0</v>
      </c>
      <c r="G256" s="42">
        <f t="shared" si="81"/>
        <v>0</v>
      </c>
      <c r="H256" s="42">
        <f t="shared" si="81"/>
        <v>0</v>
      </c>
      <c r="I256" s="42">
        <f t="shared" si="81"/>
        <v>1841925.55</v>
      </c>
      <c r="J256" s="42">
        <f t="shared" si="81"/>
        <v>839684.45</v>
      </c>
      <c r="K256" s="42">
        <f t="shared" si="81"/>
        <v>170991.52999999994</v>
      </c>
    </row>
    <row r="257" spans="1:11" ht="22.5">
      <c r="A257" s="63" t="s">
        <v>28</v>
      </c>
      <c r="B257" s="96"/>
      <c r="C257" s="61" t="s">
        <v>76</v>
      </c>
      <c r="D257" s="39">
        <f>D49+D166</f>
        <v>30108</v>
      </c>
      <c r="E257" s="39">
        <f t="shared" ref="E257:K257" si="82">E49+E166</f>
        <v>30108</v>
      </c>
      <c r="F257" s="39">
        <f t="shared" si="82"/>
        <v>0</v>
      </c>
      <c r="G257" s="39">
        <f t="shared" si="82"/>
        <v>0</v>
      </c>
      <c r="H257" s="39">
        <f t="shared" si="82"/>
        <v>0</v>
      </c>
      <c r="I257" s="39">
        <f t="shared" si="82"/>
        <v>0</v>
      </c>
      <c r="J257" s="39">
        <f t="shared" si="82"/>
        <v>30108</v>
      </c>
      <c r="K257" s="39">
        <f t="shared" si="82"/>
        <v>30108</v>
      </c>
    </row>
    <row r="258" spans="1:11" ht="22.5">
      <c r="A258" s="63" t="s">
        <v>29</v>
      </c>
      <c r="B258" s="96"/>
      <c r="C258" s="61" t="s">
        <v>77</v>
      </c>
      <c r="D258" s="39">
        <f>D167+D107+D50</f>
        <v>39500</v>
      </c>
      <c r="E258" s="39">
        <f t="shared" ref="E258:K258" si="83">E167+E107+E50</f>
        <v>29750</v>
      </c>
      <c r="F258" s="39">
        <f t="shared" si="83"/>
        <v>0</v>
      </c>
      <c r="G258" s="39">
        <f t="shared" si="83"/>
        <v>0</v>
      </c>
      <c r="H258" s="39">
        <f t="shared" si="83"/>
        <v>0</v>
      </c>
      <c r="I258" s="39">
        <f t="shared" si="83"/>
        <v>13500</v>
      </c>
      <c r="J258" s="39">
        <f t="shared" si="83"/>
        <v>26000</v>
      </c>
      <c r="K258" s="39">
        <f t="shared" si="83"/>
        <v>16250</v>
      </c>
    </row>
    <row r="259" spans="1:11" s="101" customFormat="1">
      <c r="A259" s="62" t="s">
        <v>92</v>
      </c>
      <c r="B259" s="100"/>
      <c r="C259" s="41"/>
      <c r="D259" s="42">
        <f t="shared" ref="D259:K259" si="84">SUM(D257:D258)</f>
        <v>69608</v>
      </c>
      <c r="E259" s="42">
        <f t="shared" si="84"/>
        <v>59858</v>
      </c>
      <c r="F259" s="42">
        <f t="shared" si="84"/>
        <v>0</v>
      </c>
      <c r="G259" s="42">
        <f t="shared" si="84"/>
        <v>0</v>
      </c>
      <c r="H259" s="42">
        <f t="shared" si="84"/>
        <v>0</v>
      </c>
      <c r="I259" s="42">
        <f t="shared" si="84"/>
        <v>13500</v>
      </c>
      <c r="J259" s="42">
        <f t="shared" si="84"/>
        <v>56108</v>
      </c>
      <c r="K259" s="42">
        <f t="shared" si="84"/>
        <v>46358</v>
      </c>
    </row>
    <row r="260" spans="1:11">
      <c r="A260" s="73" t="s">
        <v>113</v>
      </c>
      <c r="B260" s="96"/>
      <c r="C260" s="61" t="s">
        <v>78</v>
      </c>
      <c r="D260" s="39">
        <f t="shared" ref="D260:K261" si="85">D19+D52+D109+D169</f>
        <v>595702</v>
      </c>
      <c r="E260" s="39">
        <f t="shared" si="85"/>
        <v>431167</v>
      </c>
      <c r="F260" s="39">
        <f t="shared" si="85"/>
        <v>0</v>
      </c>
      <c r="G260" s="39">
        <f t="shared" si="85"/>
        <v>0</v>
      </c>
      <c r="H260" s="39">
        <f t="shared" si="85"/>
        <v>0</v>
      </c>
      <c r="I260" s="39">
        <f t="shared" si="85"/>
        <v>401616</v>
      </c>
      <c r="J260" s="39">
        <f t="shared" si="85"/>
        <v>194086</v>
      </c>
      <c r="K260" s="39">
        <f t="shared" si="85"/>
        <v>29551</v>
      </c>
    </row>
    <row r="261" spans="1:11">
      <c r="A261" s="73" t="s">
        <v>114</v>
      </c>
      <c r="B261" s="96"/>
      <c r="C261" s="61" t="s">
        <v>79</v>
      </c>
      <c r="D261" s="39">
        <f t="shared" si="85"/>
        <v>222038</v>
      </c>
      <c r="E261" s="39">
        <f t="shared" si="85"/>
        <v>161235</v>
      </c>
      <c r="F261" s="39">
        <f t="shared" si="85"/>
        <v>0</v>
      </c>
      <c r="G261" s="39">
        <f t="shared" si="85"/>
        <v>0</v>
      </c>
      <c r="H261" s="39">
        <f t="shared" si="85"/>
        <v>0</v>
      </c>
      <c r="I261" s="39">
        <f t="shared" si="85"/>
        <v>147711.73000000001</v>
      </c>
      <c r="J261" s="39">
        <f t="shared" si="85"/>
        <v>74326.26999999999</v>
      </c>
      <c r="K261" s="39">
        <f t="shared" si="85"/>
        <v>13523.269999999997</v>
      </c>
    </row>
    <row r="262" spans="1:11" s="101" customFormat="1">
      <c r="A262" s="62" t="s">
        <v>95</v>
      </c>
      <c r="B262" s="100"/>
      <c r="C262" s="41"/>
      <c r="D262" s="42">
        <f t="shared" ref="D262:K262" si="86">SUM(D260:D261)</f>
        <v>817740</v>
      </c>
      <c r="E262" s="42">
        <f t="shared" si="86"/>
        <v>592402</v>
      </c>
      <c r="F262" s="42">
        <f t="shared" si="86"/>
        <v>0</v>
      </c>
      <c r="G262" s="42">
        <f t="shared" si="86"/>
        <v>0</v>
      </c>
      <c r="H262" s="42">
        <f t="shared" si="86"/>
        <v>0</v>
      </c>
      <c r="I262" s="42">
        <f t="shared" si="86"/>
        <v>549327.73</v>
      </c>
      <c r="J262" s="42">
        <f>SUM(J260:J261)</f>
        <v>268412.27</v>
      </c>
      <c r="K262" s="42">
        <f t="shared" si="86"/>
        <v>43074.27</v>
      </c>
    </row>
    <row r="263" spans="1:11" s="101" customFormat="1">
      <c r="A263" s="62"/>
      <c r="B263" s="100"/>
      <c r="C263" s="41"/>
      <c r="D263" s="42">
        <f>D264+D265+D269+D271+D272</f>
        <v>2786184.37</v>
      </c>
      <c r="E263" s="42">
        <f t="shared" ref="E263:K263" si="87">E264+E265+E269+E271+E272</f>
        <v>2533469.17</v>
      </c>
      <c r="F263" s="42">
        <f t="shared" si="87"/>
        <v>293549</v>
      </c>
      <c r="G263" s="42">
        <f t="shared" si="87"/>
        <v>0</v>
      </c>
      <c r="H263" s="42">
        <f t="shared" si="87"/>
        <v>0</v>
      </c>
      <c r="I263" s="42">
        <f t="shared" si="87"/>
        <v>1393485.85</v>
      </c>
      <c r="J263" s="42">
        <f t="shared" si="87"/>
        <v>1392413.52</v>
      </c>
      <c r="K263" s="42">
        <f t="shared" si="87"/>
        <v>1139698.3199999998</v>
      </c>
    </row>
    <row r="264" spans="1:11">
      <c r="A264" s="60" t="s">
        <v>17</v>
      </c>
      <c r="B264" s="96"/>
      <c r="C264" s="61" t="s">
        <v>275</v>
      </c>
      <c r="D264" s="39">
        <f>D60+D177</f>
        <v>43856</v>
      </c>
      <c r="E264" s="39">
        <f t="shared" ref="E264:K264" si="88">E60+E177</f>
        <v>38210</v>
      </c>
      <c r="F264" s="39">
        <f t="shared" si="88"/>
        <v>0</v>
      </c>
      <c r="G264" s="39">
        <f t="shared" si="88"/>
        <v>0</v>
      </c>
      <c r="H264" s="39">
        <f t="shared" si="88"/>
        <v>0</v>
      </c>
      <c r="I264" s="39">
        <f t="shared" si="88"/>
        <v>25123.46</v>
      </c>
      <c r="J264" s="39">
        <f t="shared" si="88"/>
        <v>18732.54</v>
      </c>
      <c r="K264" s="39">
        <f t="shared" si="88"/>
        <v>13086.539999999999</v>
      </c>
    </row>
    <row r="265" spans="1:11">
      <c r="A265" s="60" t="s">
        <v>18</v>
      </c>
      <c r="B265" s="96"/>
      <c r="C265" s="61" t="s">
        <v>80</v>
      </c>
      <c r="D265" s="39">
        <f>D56+D61+D115+D173</f>
        <v>74714</v>
      </c>
      <c r="E265" s="39">
        <f t="shared" ref="E265:K265" si="89">E56+E61+E115+E173</f>
        <v>60530</v>
      </c>
      <c r="F265" s="39">
        <f t="shared" si="89"/>
        <v>0</v>
      </c>
      <c r="G265" s="39">
        <f t="shared" si="89"/>
        <v>0</v>
      </c>
      <c r="H265" s="39">
        <f t="shared" si="89"/>
        <v>0</v>
      </c>
      <c r="I265" s="39">
        <f t="shared" si="89"/>
        <v>18151.7</v>
      </c>
      <c r="J265" s="39">
        <f t="shared" si="89"/>
        <v>56562.3</v>
      </c>
      <c r="K265" s="39">
        <f t="shared" si="89"/>
        <v>42378.3</v>
      </c>
    </row>
    <row r="266" spans="1:11">
      <c r="A266" s="60" t="s">
        <v>34</v>
      </c>
      <c r="B266" s="96"/>
      <c r="C266" s="61" t="s">
        <v>81</v>
      </c>
      <c r="D266" s="39">
        <f>D62</f>
        <v>1097488</v>
      </c>
      <c r="E266" s="39">
        <f t="shared" ref="E266:K266" si="90">E62</f>
        <v>983365.8</v>
      </c>
      <c r="F266" s="39">
        <f t="shared" si="90"/>
        <v>0</v>
      </c>
      <c r="G266" s="39">
        <f t="shared" si="90"/>
        <v>0</v>
      </c>
      <c r="H266" s="39">
        <f t="shared" si="90"/>
        <v>0</v>
      </c>
      <c r="I266" s="39">
        <f t="shared" si="90"/>
        <v>845954.8</v>
      </c>
      <c r="J266" s="39">
        <f t="shared" si="90"/>
        <v>251533.19999999995</v>
      </c>
      <c r="K266" s="39">
        <f t="shared" si="90"/>
        <v>137411</v>
      </c>
    </row>
    <row r="267" spans="1:11">
      <c r="A267" s="60" t="s">
        <v>30</v>
      </c>
      <c r="B267" s="96"/>
      <c r="C267" s="61" t="s">
        <v>82</v>
      </c>
      <c r="D267" s="39">
        <f>D63+D153</f>
        <v>359611.37</v>
      </c>
      <c r="E267" s="39">
        <f t="shared" ref="E267:K267" si="91">E63+E153</f>
        <v>359611.37</v>
      </c>
      <c r="F267" s="39">
        <f t="shared" si="91"/>
        <v>0</v>
      </c>
      <c r="G267" s="39">
        <f t="shared" si="91"/>
        <v>0</v>
      </c>
      <c r="H267" s="39">
        <f t="shared" si="91"/>
        <v>0</v>
      </c>
      <c r="I267" s="39">
        <f t="shared" si="91"/>
        <v>272318.88</v>
      </c>
      <c r="J267" s="39">
        <f t="shared" si="91"/>
        <v>87292.489999999991</v>
      </c>
      <c r="K267" s="39">
        <f t="shared" si="91"/>
        <v>87292.489999999991</v>
      </c>
    </row>
    <row r="268" spans="1:11">
      <c r="A268" s="60" t="s">
        <v>31</v>
      </c>
      <c r="B268" s="96"/>
      <c r="C268" s="61" t="s">
        <v>83</v>
      </c>
      <c r="D268" s="39">
        <f t="shared" ref="D268:K268" si="92">D64</f>
        <v>15313</v>
      </c>
      <c r="E268" s="39">
        <f t="shared" si="92"/>
        <v>14313</v>
      </c>
      <c r="F268" s="39">
        <f t="shared" si="92"/>
        <v>3294</v>
      </c>
      <c r="G268" s="39">
        <f t="shared" si="92"/>
        <v>0</v>
      </c>
      <c r="H268" s="39">
        <f t="shared" si="92"/>
        <v>0</v>
      </c>
      <c r="I268" s="39">
        <f t="shared" si="92"/>
        <v>8040.88</v>
      </c>
      <c r="J268" s="39">
        <f t="shared" si="92"/>
        <v>7272.12</v>
      </c>
      <c r="K268" s="39">
        <f t="shared" si="92"/>
        <v>6272.12</v>
      </c>
    </row>
    <row r="269" spans="1:11" s="101" customFormat="1">
      <c r="A269" s="62" t="s">
        <v>93</v>
      </c>
      <c r="B269" s="100"/>
      <c r="C269" s="41"/>
      <c r="D269" s="42">
        <f t="shared" ref="D269:K269" si="93">SUM(D266:D268)</f>
        <v>1472412.37</v>
      </c>
      <c r="E269" s="42">
        <f t="shared" si="93"/>
        <v>1357290.17</v>
      </c>
      <c r="F269" s="42">
        <f t="shared" si="93"/>
        <v>3294</v>
      </c>
      <c r="G269" s="42">
        <f>SUM(G266:G268)</f>
        <v>0</v>
      </c>
      <c r="H269" s="42">
        <f>SUM(H266:H268)</f>
        <v>0</v>
      </c>
      <c r="I269" s="42">
        <f>SUM(I266:I268)</f>
        <v>1126314.56</v>
      </c>
      <c r="J269" s="42">
        <f t="shared" si="93"/>
        <v>346097.80999999994</v>
      </c>
      <c r="K269" s="42">
        <f t="shared" si="93"/>
        <v>230975.61</v>
      </c>
    </row>
    <row r="270" spans="1:11" s="116" customFormat="1" hidden="1">
      <c r="A270" s="60" t="s">
        <v>21</v>
      </c>
      <c r="B270" s="115"/>
      <c r="C270" s="61" t="s">
        <v>117</v>
      </c>
      <c r="D270" s="39"/>
      <c r="E270" s="39"/>
      <c r="F270" s="39"/>
      <c r="G270" s="39"/>
      <c r="H270" s="39"/>
      <c r="I270" s="39"/>
      <c r="J270" s="39"/>
      <c r="K270" s="39"/>
    </row>
    <row r="271" spans="1:11">
      <c r="A271" s="60" t="s">
        <v>20</v>
      </c>
      <c r="B271" s="96"/>
      <c r="C271" s="61" t="s">
        <v>84</v>
      </c>
      <c r="D271" s="39">
        <f>D66+D117+D139+D178+D142+D140</f>
        <v>364531</v>
      </c>
      <c r="E271" s="39">
        <f t="shared" ref="E271:K271" si="94">E66+E117+E139+E178+E142+E140</f>
        <v>277492</v>
      </c>
      <c r="F271" s="39">
        <f t="shared" si="94"/>
        <v>166530</v>
      </c>
      <c r="G271" s="39">
        <f t="shared" si="94"/>
        <v>0</v>
      </c>
      <c r="H271" s="39">
        <f t="shared" si="94"/>
        <v>0</v>
      </c>
      <c r="I271" s="39">
        <f t="shared" si="94"/>
        <v>124570.6</v>
      </c>
      <c r="J271" s="39">
        <f t="shared" si="94"/>
        <v>239960.4</v>
      </c>
      <c r="K271" s="39">
        <f t="shared" si="94"/>
        <v>152921.4</v>
      </c>
    </row>
    <row r="272" spans="1:11">
      <c r="A272" s="60" t="s">
        <v>21</v>
      </c>
      <c r="B272" s="96"/>
      <c r="C272" s="61" t="s">
        <v>274</v>
      </c>
      <c r="D272" s="39">
        <f t="shared" ref="D272:I272" si="95">D57+D67+D81+D113+D119+D128+D129+D141+D154+D157+D174+D179+D143+D82+D77+D78+D159+D160</f>
        <v>830671</v>
      </c>
      <c r="E272" s="39">
        <f t="shared" si="95"/>
        <v>799947</v>
      </c>
      <c r="F272" s="39">
        <f t="shared" si="95"/>
        <v>123725</v>
      </c>
      <c r="G272" s="39">
        <f t="shared" si="95"/>
        <v>0</v>
      </c>
      <c r="H272" s="39">
        <f t="shared" si="95"/>
        <v>0</v>
      </c>
      <c r="I272" s="39">
        <f t="shared" si="95"/>
        <v>99325.53</v>
      </c>
      <c r="J272" s="39">
        <f>J57+J67+J81+J113+J119+J128+J129+J141+J154+J157+J174+J179+J143+J82+J77+J78+J159</f>
        <v>731060.47</v>
      </c>
      <c r="K272" s="39">
        <f>K57+K67+K81+K113+K119+K128+K129+K141+K154+K157+K174+K179+K143+K82+K77+K78+K159</f>
        <v>700336.47</v>
      </c>
    </row>
    <row r="273" spans="1:11" ht="24">
      <c r="A273" s="37" t="s">
        <v>24</v>
      </c>
      <c r="B273" s="96"/>
      <c r="C273" s="61" t="s">
        <v>89</v>
      </c>
      <c r="D273" s="39">
        <f>D84+D145+D149</f>
        <v>16180914.27</v>
      </c>
      <c r="E273" s="39">
        <f t="shared" ref="E273:K273" si="96">E84+E145+E149</f>
        <v>16177446.27</v>
      </c>
      <c r="F273" s="39">
        <f t="shared" si="96"/>
        <v>0</v>
      </c>
      <c r="G273" s="39">
        <f t="shared" si="96"/>
        <v>0</v>
      </c>
      <c r="H273" s="39">
        <f t="shared" si="96"/>
        <v>0</v>
      </c>
      <c r="I273" s="39">
        <f t="shared" si="96"/>
        <v>6080546.6699999999</v>
      </c>
      <c r="J273" s="39">
        <f t="shared" si="96"/>
        <v>10100367.6</v>
      </c>
      <c r="K273" s="39">
        <f t="shared" si="96"/>
        <v>10096899.6</v>
      </c>
    </row>
    <row r="274" spans="1:11">
      <c r="A274" s="60" t="s">
        <v>22</v>
      </c>
      <c r="B274" s="96"/>
      <c r="C274" s="61" t="s">
        <v>85</v>
      </c>
      <c r="D274" s="39">
        <f>D68+D74+D96</f>
        <v>34532</v>
      </c>
      <c r="E274" s="39">
        <f t="shared" ref="E274:K274" si="97">E68+E74+E96</f>
        <v>17124</v>
      </c>
      <c r="F274" s="39">
        <f t="shared" si="97"/>
        <v>0</v>
      </c>
      <c r="G274" s="39">
        <f t="shared" si="97"/>
        <v>0</v>
      </c>
      <c r="H274" s="39">
        <f t="shared" si="97"/>
        <v>0</v>
      </c>
      <c r="I274" s="39">
        <f t="shared" si="97"/>
        <v>2409.85</v>
      </c>
      <c r="J274" s="39">
        <f t="shared" si="97"/>
        <v>32122.15</v>
      </c>
      <c r="K274" s="39">
        <f t="shared" si="97"/>
        <v>14714.15</v>
      </c>
    </row>
    <row r="275" spans="1:11" hidden="1">
      <c r="A275" s="60" t="s">
        <v>23</v>
      </c>
      <c r="B275" s="96"/>
      <c r="C275" s="61" t="s">
        <v>86</v>
      </c>
      <c r="D275" s="39"/>
      <c r="E275" s="39"/>
      <c r="F275" s="39"/>
      <c r="G275" s="39"/>
      <c r="H275" s="39"/>
      <c r="I275" s="39"/>
      <c r="J275" s="39"/>
      <c r="K275" s="39"/>
    </row>
    <row r="276" spans="1:11">
      <c r="A276" s="60" t="s">
        <v>33</v>
      </c>
      <c r="B276" s="96"/>
      <c r="C276" s="61" t="s">
        <v>87</v>
      </c>
      <c r="D276" s="39">
        <f>D71</f>
        <v>130604</v>
      </c>
      <c r="E276" s="39">
        <f t="shared" ref="E276:K276" si="98">E71</f>
        <v>103453</v>
      </c>
      <c r="F276" s="39">
        <f t="shared" si="98"/>
        <v>0</v>
      </c>
      <c r="G276" s="39">
        <f t="shared" si="98"/>
        <v>0</v>
      </c>
      <c r="H276" s="39">
        <f t="shared" si="98"/>
        <v>0</v>
      </c>
      <c r="I276" s="39">
        <f t="shared" si="98"/>
        <v>96777.02</v>
      </c>
      <c r="J276" s="39">
        <f>J71</f>
        <v>33826.979999999996</v>
      </c>
      <c r="K276" s="39">
        <f t="shared" si="98"/>
        <v>6675.9799999999959</v>
      </c>
    </row>
    <row r="277" spans="1:11">
      <c r="A277" s="64" t="s">
        <v>32</v>
      </c>
      <c r="B277" s="96"/>
      <c r="C277" s="61" t="s">
        <v>88</v>
      </c>
      <c r="D277" s="39">
        <f>D72+D100+D121+D181+D156</f>
        <v>58373</v>
      </c>
      <c r="E277" s="39">
        <f t="shared" ref="E277:K277" si="99">E72+E100+E121+E181+E156</f>
        <v>29233</v>
      </c>
      <c r="F277" s="39">
        <f t="shared" si="99"/>
        <v>0</v>
      </c>
      <c r="G277" s="39">
        <f t="shared" si="99"/>
        <v>0</v>
      </c>
      <c r="H277" s="39">
        <f t="shared" si="99"/>
        <v>0</v>
      </c>
      <c r="I277" s="39">
        <f t="shared" si="99"/>
        <v>13348</v>
      </c>
      <c r="J277" s="39">
        <f t="shared" si="99"/>
        <v>45025</v>
      </c>
      <c r="K277" s="39">
        <f t="shared" si="99"/>
        <v>15885</v>
      </c>
    </row>
    <row r="278" spans="1:11" s="101" customFormat="1">
      <c r="A278" s="62" t="s">
        <v>94</v>
      </c>
      <c r="B278" s="100"/>
      <c r="C278" s="41"/>
      <c r="D278" s="42">
        <f>SUM(D276:D277)</f>
        <v>188977</v>
      </c>
      <c r="E278" s="42">
        <f t="shared" ref="E278:K278" si="100">SUM(E276:E277)</f>
        <v>132686</v>
      </c>
      <c r="F278" s="42">
        <f t="shared" si="100"/>
        <v>0</v>
      </c>
      <c r="G278" s="42">
        <f t="shared" si="100"/>
        <v>0</v>
      </c>
      <c r="H278" s="42">
        <f t="shared" si="100"/>
        <v>0</v>
      </c>
      <c r="I278" s="42">
        <f t="shared" si="100"/>
        <v>110125.02</v>
      </c>
      <c r="J278" s="42">
        <f t="shared" si="100"/>
        <v>78851.98</v>
      </c>
      <c r="K278" s="42">
        <f t="shared" si="100"/>
        <v>22560.979999999996</v>
      </c>
    </row>
    <row r="279" spans="1:11" s="101" customFormat="1">
      <c r="A279" s="62"/>
      <c r="B279" s="100"/>
      <c r="C279" s="41" t="s">
        <v>116</v>
      </c>
      <c r="D279" s="42">
        <f>D242+D183</f>
        <v>2815994</v>
      </c>
      <c r="E279" s="42">
        <f t="shared" ref="E279:K279" si="101">E242+E183</f>
        <v>2353693</v>
      </c>
      <c r="F279" s="42" t="e">
        <f t="shared" si="101"/>
        <v>#REF!</v>
      </c>
      <c r="G279" s="42" t="e">
        <f t="shared" si="101"/>
        <v>#REF!</v>
      </c>
      <c r="H279" s="42" t="e">
        <f t="shared" si="101"/>
        <v>#REF!</v>
      </c>
      <c r="I279" s="42">
        <f t="shared" si="101"/>
        <v>2130824</v>
      </c>
      <c r="J279" s="42">
        <f t="shared" si="101"/>
        <v>685170</v>
      </c>
      <c r="K279" s="42">
        <f t="shared" si="101"/>
        <v>222869</v>
      </c>
    </row>
    <row r="280" spans="1:11" s="117" customFormat="1" ht="24" customHeight="1">
      <c r="A280" s="49" t="s">
        <v>25</v>
      </c>
      <c r="B280" s="104"/>
      <c r="C280" s="50"/>
      <c r="D280" s="65">
        <f>D256+D259+D262+D263+D273+D274+D278+D279</f>
        <v>25575559.640000001</v>
      </c>
      <c r="E280" s="65">
        <f t="shared" ref="E280:K280" si="102">E256+E259+E262+E263+E273+E274+E278+E279</f>
        <v>23879595.52</v>
      </c>
      <c r="F280" s="65" t="e">
        <f t="shared" si="102"/>
        <v>#REF!</v>
      </c>
      <c r="G280" s="65" t="e">
        <f t="shared" si="102"/>
        <v>#REF!</v>
      </c>
      <c r="H280" s="65" t="e">
        <f t="shared" si="102"/>
        <v>#REF!</v>
      </c>
      <c r="I280" s="65">
        <f>I256+I259+I262+I263+I273+I274+I278+I279</f>
        <v>12122144.67</v>
      </c>
      <c r="J280" s="65">
        <f t="shared" si="102"/>
        <v>13453129.970000001</v>
      </c>
      <c r="K280" s="65">
        <f t="shared" si="102"/>
        <v>11757165.85</v>
      </c>
    </row>
    <row r="281" spans="1:11">
      <c r="D281" s="66"/>
      <c r="E281" s="118"/>
      <c r="F281" s="118"/>
    </row>
  </sheetData>
  <mergeCells count="8">
    <mergeCell ref="E11:E12"/>
    <mergeCell ref="I11:I12"/>
    <mergeCell ref="J11:K11"/>
    <mergeCell ref="A11:A12"/>
    <mergeCell ref="B11:B12"/>
    <mergeCell ref="C11:C12"/>
    <mergeCell ref="D11:D12"/>
    <mergeCell ref="F11:F12"/>
  </mergeCells>
  <phoneticPr fontId="0" type="noConversion"/>
  <pageMargins left="0.59055118110236227" right="0.19685039370078741" top="0.39370078740157483" bottom="0.39370078740157483" header="0.19685039370078741" footer="0.39370078740157483"/>
  <pageSetup paperSize="9" scale="81" fitToHeight="0" orientation="landscape" r:id="rId1"/>
  <headerFooter alignWithMargins="0">
    <oddFooter>&amp;RСтраница &amp;P из &amp;N</oddFooter>
  </headerFooter>
  <rowBreaks count="6" manualBreakCount="6">
    <brk id="65" max="16383" man="1"/>
    <brk id="101" max="16383" man="1"/>
    <brk id="145" max="16383" man="1"/>
    <brk id="182" max="16383" man="1"/>
    <brk id="215" max="16383" man="1"/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topLeftCell="A8" workbookViewId="0">
      <selection activeCell="C17" sqref="C17"/>
    </sheetView>
  </sheetViews>
  <sheetFormatPr defaultRowHeight="12.75"/>
  <cols>
    <col min="1" max="1" width="32.85546875" style="3" customWidth="1"/>
    <col min="2" max="2" width="6.5703125" style="4" customWidth="1"/>
    <col min="3" max="3" width="25.7109375" style="2" customWidth="1"/>
    <col min="4" max="4" width="15.7109375" style="5" customWidth="1"/>
    <col min="5" max="5" width="14.28515625" style="5" customWidth="1"/>
    <col min="6" max="8" width="9.140625" style="5"/>
    <col min="9" max="9" width="16" style="5" customWidth="1"/>
    <col min="10" max="10" width="12.7109375" style="5" customWidth="1"/>
    <col min="11" max="11" width="0" style="5" hidden="1" customWidth="1"/>
    <col min="12" max="12" width="11.7109375" bestFit="1" customWidth="1"/>
    <col min="13" max="13" width="10.28515625" customWidth="1"/>
    <col min="14" max="14" width="11.28515625" bestFit="1" customWidth="1"/>
  </cols>
  <sheetData>
    <row r="1" spans="1:15" s="7" customFormat="1" ht="30" hidden="1" customHeight="1">
      <c r="C1" s="7" t="s">
        <v>0</v>
      </c>
    </row>
    <row r="2" spans="1:15" s="7" customForma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5" s="7" customFormat="1" hidden="1">
      <c r="A3" s="8"/>
      <c r="B3" s="8"/>
      <c r="C3" s="8" t="s">
        <v>1</v>
      </c>
      <c r="D3" s="8"/>
      <c r="E3" s="8"/>
      <c r="F3" s="8"/>
      <c r="G3" s="8"/>
      <c r="H3" s="8"/>
      <c r="I3" s="8"/>
      <c r="J3" s="8"/>
      <c r="K3" s="8"/>
    </row>
    <row r="4" spans="1:15" s="7" customForma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5" s="7" customForma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5" s="7" customFormat="1" hidden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5" s="7" customFormat="1" hidden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5" s="7" customFormat="1">
      <c r="A8" s="8"/>
      <c r="B8" s="8"/>
      <c r="C8" s="8"/>
      <c r="D8" s="8"/>
      <c r="E8" s="8"/>
      <c r="F8" s="8"/>
      <c r="G8" s="8"/>
      <c r="H8" s="8"/>
      <c r="I8" s="8"/>
      <c r="J8" s="11" t="s">
        <v>15</v>
      </c>
      <c r="K8" s="8"/>
    </row>
    <row r="9" spans="1:15" s="7" customFormat="1">
      <c r="A9" s="157" t="s">
        <v>39</v>
      </c>
      <c r="B9" s="157"/>
      <c r="C9" s="157"/>
      <c r="D9" s="157"/>
      <c r="E9" s="157"/>
      <c r="F9" s="157"/>
      <c r="G9" s="158" t="s">
        <v>13</v>
      </c>
      <c r="H9" s="158"/>
      <c r="I9" s="27"/>
      <c r="J9" s="8"/>
      <c r="K9" s="8"/>
    </row>
    <row r="10" spans="1:15" s="6" customFormat="1">
      <c r="A10" s="159" t="s">
        <v>40</v>
      </c>
      <c r="B10" s="161" t="s">
        <v>41</v>
      </c>
      <c r="C10" s="159" t="s">
        <v>42</v>
      </c>
      <c r="D10" s="163" t="s">
        <v>43</v>
      </c>
      <c r="E10" s="156" t="s">
        <v>5</v>
      </c>
      <c r="F10" s="156"/>
      <c r="G10" s="156"/>
      <c r="H10" s="156"/>
      <c r="I10" s="156" t="s">
        <v>6</v>
      </c>
      <c r="J10" s="1"/>
      <c r="K10" s="1"/>
    </row>
    <row r="11" spans="1:15" s="9" customFormat="1" ht="60" customHeight="1">
      <c r="A11" s="160"/>
      <c r="B11" s="162"/>
      <c r="C11" s="160"/>
      <c r="D11" s="164"/>
      <c r="E11" s="21" t="s">
        <v>44</v>
      </c>
      <c r="F11" s="22" t="s">
        <v>45</v>
      </c>
      <c r="G11" s="22" t="s">
        <v>46</v>
      </c>
      <c r="H11" s="22" t="s">
        <v>47</v>
      </c>
      <c r="I11" s="156"/>
      <c r="J11" s="155"/>
      <c r="K11" s="10"/>
    </row>
    <row r="12" spans="1:15" s="9" customFormat="1" ht="11.25">
      <c r="A12" s="23" t="s">
        <v>48</v>
      </c>
      <c r="B12" s="24">
        <v>2</v>
      </c>
      <c r="C12" s="24" t="s">
        <v>49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155"/>
      <c r="K12" s="10"/>
      <c r="L12" s="85"/>
      <c r="M12" s="84"/>
    </row>
    <row r="13" spans="1:15" s="9" customFormat="1" ht="22.5">
      <c r="A13" s="15" t="s">
        <v>50</v>
      </c>
      <c r="B13" s="12">
        <v>500</v>
      </c>
      <c r="C13" s="13"/>
      <c r="D13" s="25">
        <f>D23-D24</f>
        <v>-33721.369999997318</v>
      </c>
      <c r="E13" s="25">
        <f>(E23)+E24</f>
        <v>-246221.58999999985</v>
      </c>
      <c r="F13" s="14" t="s">
        <v>52</v>
      </c>
      <c r="G13" s="14" t="s">
        <v>52</v>
      </c>
      <c r="H13" s="14" t="s">
        <v>52</v>
      </c>
      <c r="I13" s="14" t="s">
        <v>52</v>
      </c>
      <c r="J13" s="26"/>
      <c r="K13" s="10"/>
      <c r="M13" s="28"/>
    </row>
    <row r="14" spans="1:15">
      <c r="A14" s="15" t="s">
        <v>53</v>
      </c>
      <c r="B14" s="12"/>
      <c r="C14" s="13"/>
      <c r="D14" s="25"/>
      <c r="E14" s="14"/>
      <c r="F14" s="14"/>
      <c r="G14" s="14"/>
      <c r="H14" s="14"/>
      <c r="I14" s="14"/>
      <c r="J14" s="17"/>
      <c r="K14" s="16"/>
      <c r="M14" s="76"/>
      <c r="N14" s="76"/>
    </row>
    <row r="15" spans="1:15" ht="22.5">
      <c r="A15" s="15" t="s">
        <v>54</v>
      </c>
      <c r="B15" s="12">
        <v>520</v>
      </c>
      <c r="C15" s="13" t="s">
        <v>51</v>
      </c>
      <c r="D15" s="25" t="s">
        <v>52</v>
      </c>
      <c r="E15" s="14"/>
      <c r="F15" s="14" t="s">
        <v>52</v>
      </c>
      <c r="G15" s="14" t="s">
        <v>52</v>
      </c>
      <c r="H15" s="14" t="s">
        <v>52</v>
      </c>
      <c r="I15" s="14" t="s">
        <v>52</v>
      </c>
      <c r="L15" s="75"/>
      <c r="M15" s="80"/>
      <c r="N15" s="77"/>
      <c r="O15" s="78"/>
    </row>
    <row r="16" spans="1:15">
      <c r="A16" s="15" t="s">
        <v>55</v>
      </c>
      <c r="B16" s="12"/>
      <c r="C16" s="13"/>
      <c r="D16" s="25"/>
      <c r="E16" s="14"/>
      <c r="F16" s="14"/>
      <c r="G16" s="14"/>
      <c r="H16" s="14"/>
      <c r="I16" s="14"/>
      <c r="N16" s="76"/>
    </row>
    <row r="17" spans="1:14" ht="22.5">
      <c r="A17" s="15" t="s">
        <v>56</v>
      </c>
      <c r="B17" s="12">
        <v>620</v>
      </c>
      <c r="C17" s="13" t="s">
        <v>51</v>
      </c>
      <c r="D17" s="25" t="s">
        <v>52</v>
      </c>
      <c r="E17" s="14"/>
      <c r="F17" s="14" t="s">
        <v>52</v>
      </c>
      <c r="G17" s="14" t="s">
        <v>52</v>
      </c>
      <c r="H17" s="14" t="s">
        <v>52</v>
      </c>
      <c r="I17" s="14" t="s">
        <v>52</v>
      </c>
      <c r="L17" s="82"/>
      <c r="M17" s="29"/>
      <c r="N17" s="79"/>
    </row>
    <row r="18" spans="1:14">
      <c r="A18" s="15" t="s">
        <v>57</v>
      </c>
      <c r="B18" s="12"/>
      <c r="C18" s="13"/>
      <c r="D18" s="25"/>
      <c r="E18" s="14"/>
      <c r="F18" s="14"/>
      <c r="G18" s="14"/>
      <c r="H18" s="14"/>
      <c r="I18" s="14"/>
    </row>
    <row r="19" spans="1:14">
      <c r="A19" s="15" t="s">
        <v>58</v>
      </c>
      <c r="B19" s="12">
        <v>700</v>
      </c>
      <c r="C19" s="13"/>
      <c r="D19" s="25" t="s">
        <v>52</v>
      </c>
      <c r="E19" s="14"/>
      <c r="F19" s="14" t="s">
        <v>52</v>
      </c>
      <c r="G19" s="14" t="s">
        <v>52</v>
      </c>
      <c r="H19" s="14" t="s">
        <v>52</v>
      </c>
      <c r="I19" s="14" t="s">
        <v>51</v>
      </c>
      <c r="L19" s="82"/>
    </row>
    <row r="20" spans="1:14" ht="22.5">
      <c r="A20" s="15" t="s">
        <v>59</v>
      </c>
      <c r="B20" s="12">
        <v>800</v>
      </c>
      <c r="C20" s="13" t="s">
        <v>51</v>
      </c>
      <c r="D20" s="25" t="s">
        <v>51</v>
      </c>
      <c r="E20" s="14"/>
      <c r="F20" s="14" t="s">
        <v>52</v>
      </c>
      <c r="G20" s="14" t="s">
        <v>52</v>
      </c>
      <c r="H20" s="14" t="s">
        <v>52</v>
      </c>
      <c r="I20" s="14" t="s">
        <v>51</v>
      </c>
      <c r="L20" s="76"/>
    </row>
    <row r="21" spans="1:14" ht="45">
      <c r="A21" s="15" t="s">
        <v>60</v>
      </c>
      <c r="B21" s="12">
        <v>810</v>
      </c>
      <c r="C21" s="13" t="s">
        <v>51</v>
      </c>
      <c r="D21" s="25" t="s">
        <v>51</v>
      </c>
      <c r="E21" s="25">
        <f>E23+E24</f>
        <v>-246221.58999999985</v>
      </c>
      <c r="F21" s="14" t="s">
        <v>52</v>
      </c>
      <c r="G21" s="14" t="s">
        <v>51</v>
      </c>
      <c r="H21" s="14" t="s">
        <v>52</v>
      </c>
      <c r="I21" s="14" t="s">
        <v>51</v>
      </c>
    </row>
    <row r="22" spans="1:14">
      <c r="A22" s="15" t="s">
        <v>55</v>
      </c>
      <c r="B22" s="12"/>
      <c r="C22" s="13"/>
      <c r="D22" s="25"/>
      <c r="E22" s="14"/>
      <c r="F22" s="14"/>
      <c r="G22" s="14"/>
      <c r="H22" s="14"/>
      <c r="I22" s="14"/>
    </row>
    <row r="23" spans="1:14" ht="29.25" customHeight="1">
      <c r="A23" s="15" t="s">
        <v>61</v>
      </c>
      <c r="B23" s="12">
        <v>811</v>
      </c>
      <c r="C23" s="13" t="s">
        <v>301</v>
      </c>
      <c r="D23" s="25">
        <f>8001072+394400+16086496.6+80546.67+356570+98900+285000-23+238876</f>
        <v>25541838.270000003</v>
      </c>
      <c r="E23" s="25">
        <v>-12368366.26</v>
      </c>
      <c r="F23" s="14" t="s">
        <v>51</v>
      </c>
      <c r="G23" s="14" t="s">
        <v>51</v>
      </c>
      <c r="H23" s="14" t="s">
        <v>52</v>
      </c>
      <c r="I23" s="14" t="s">
        <v>51</v>
      </c>
      <c r="L23" s="29"/>
    </row>
    <row r="24" spans="1:14" ht="22.5">
      <c r="A24" s="15" t="s">
        <v>62</v>
      </c>
      <c r="B24" s="12">
        <v>812</v>
      </c>
      <c r="C24" s="13" t="s">
        <v>302</v>
      </c>
      <c r="D24" s="25">
        <f>'Расходы бюджета'!D280</f>
        <v>25575559.640000001</v>
      </c>
      <c r="E24" s="25">
        <f>'Расходы бюджета'!I280</f>
        <v>12122144.67</v>
      </c>
      <c r="F24" s="14" t="s">
        <v>52</v>
      </c>
      <c r="G24" s="14" t="s">
        <v>51</v>
      </c>
      <c r="H24" s="14" t="s">
        <v>52</v>
      </c>
      <c r="I24" s="14" t="s">
        <v>51</v>
      </c>
      <c r="L24" s="79"/>
    </row>
    <row r="25" spans="1:14" ht="22.5">
      <c r="A25" s="15" t="s">
        <v>63</v>
      </c>
      <c r="B25" s="12">
        <v>820</v>
      </c>
      <c r="C25" s="13" t="s">
        <v>51</v>
      </c>
      <c r="D25" s="14" t="s">
        <v>51</v>
      </c>
      <c r="E25" s="14"/>
      <c r="F25" s="14" t="s">
        <v>52</v>
      </c>
      <c r="G25" s="14" t="s">
        <v>52</v>
      </c>
      <c r="H25" s="14" t="s">
        <v>52</v>
      </c>
      <c r="I25" s="14" t="s">
        <v>51</v>
      </c>
    </row>
    <row r="26" spans="1:14">
      <c r="A26" s="15" t="s">
        <v>64</v>
      </c>
      <c r="B26" s="12"/>
      <c r="C26" s="13"/>
      <c r="D26" s="14"/>
      <c r="E26" s="14"/>
      <c r="F26" s="14"/>
      <c r="G26" s="14"/>
      <c r="H26" s="14"/>
      <c r="I26" s="14"/>
    </row>
    <row r="27" spans="1:14" ht="22.5">
      <c r="A27" s="15" t="s">
        <v>65</v>
      </c>
      <c r="B27" s="12">
        <v>821</v>
      </c>
      <c r="C27" s="13" t="s">
        <v>51</v>
      </c>
      <c r="D27" s="14" t="s">
        <v>51</v>
      </c>
      <c r="E27" s="14" t="s">
        <v>51</v>
      </c>
      <c r="F27" s="14" t="s">
        <v>52</v>
      </c>
      <c r="G27" s="14" t="s">
        <v>52</v>
      </c>
      <c r="H27" s="14" t="s">
        <v>52</v>
      </c>
      <c r="I27" s="14" t="s">
        <v>51</v>
      </c>
    </row>
    <row r="28" spans="1:14" ht="22.5">
      <c r="A28" s="15" t="s">
        <v>66</v>
      </c>
      <c r="B28" s="12">
        <v>822</v>
      </c>
      <c r="C28" s="13" t="s">
        <v>51</v>
      </c>
      <c r="D28" s="14" t="s">
        <v>51</v>
      </c>
      <c r="E28" s="14" t="s">
        <v>51</v>
      </c>
      <c r="F28" s="14" t="s">
        <v>52</v>
      </c>
      <c r="G28" s="14" t="s">
        <v>52</v>
      </c>
      <c r="H28" s="14" t="s">
        <v>52</v>
      </c>
      <c r="I28" s="14" t="s">
        <v>51</v>
      </c>
    </row>
    <row r="30" spans="1:14">
      <c r="A30" s="18" t="s">
        <v>67</v>
      </c>
      <c r="B30" s="19"/>
      <c r="C30" s="20" t="s">
        <v>96</v>
      </c>
    </row>
    <row r="31" spans="1:14">
      <c r="A31" s="18"/>
      <c r="B31" s="19"/>
      <c r="C31" s="20"/>
    </row>
    <row r="32" spans="1:14">
      <c r="A32" s="18" t="s">
        <v>68</v>
      </c>
      <c r="B32" s="19"/>
      <c r="C32" s="20" t="s">
        <v>69</v>
      </c>
    </row>
    <row r="33" spans="1:3">
      <c r="A33" s="18"/>
      <c r="B33" s="19"/>
      <c r="C33" s="20"/>
    </row>
    <row r="34" spans="1:3">
      <c r="A34" s="18" t="s">
        <v>303</v>
      </c>
      <c r="B34" s="19"/>
      <c r="C34" s="20"/>
    </row>
  </sheetData>
  <mergeCells count="9">
    <mergeCell ref="J11:J12"/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54" right="0.19685039370078738" top="0.39370078740157477" bottom="0.39370078740157477" header="0" footer="0"/>
  <pageSetup paperSize="9" scale="82" fitToHeight="0" orientation="landscape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 бюджета</vt:lpstr>
      <vt:lpstr>ИФДБ</vt:lpstr>
      <vt:lpstr>ИФДБ!Заголовки_для_печати</vt:lpstr>
      <vt:lpstr>'Расходы бюджета'!Заголовки_для_печати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Саенко</cp:lastModifiedBy>
  <cp:lastPrinted>2014-09-09T07:35:16Z</cp:lastPrinted>
  <dcterms:created xsi:type="dcterms:W3CDTF">2005-06-23T13:40:44Z</dcterms:created>
  <dcterms:modified xsi:type="dcterms:W3CDTF">2015-06-17T02:39:58Z</dcterms:modified>
</cp:coreProperties>
</file>