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285" yWindow="-285" windowWidth="10995" windowHeight="9165" activeTab="1"/>
  </bookViews>
  <sheets>
    <sheet name="Расходы бюджета" sheetId="3" r:id="rId1"/>
    <sheet name="ИФДБ" sheetId="2" r:id="rId2"/>
  </sheets>
  <definedNames>
    <definedName name="_xlnm.Print_Titles" localSheetId="1">ИФДБ!$13:$13</definedName>
    <definedName name="_xlnm.Print_Titles" localSheetId="0">'Расходы бюджета'!$14:$14</definedName>
    <definedName name="_xlnm.Print_Area" localSheetId="1">ИФДБ!$A$1:$J$34</definedName>
  </definedNames>
  <calcPr calcId="125725" fullCalcOnLoad="1" refMode="R1C1"/>
</workbook>
</file>

<file path=xl/calcChain.xml><?xml version="1.0" encoding="utf-8"?>
<calcChain xmlns="http://schemas.openxmlformats.org/spreadsheetml/2006/main">
  <c r="D218" i="3"/>
  <c r="D186"/>
  <c r="M12" i="2"/>
  <c r="E65" i="3"/>
  <c r="E61"/>
  <c r="D61"/>
  <c r="D65"/>
  <c r="D23" i="2"/>
  <c r="K237" i="3"/>
  <c r="J237"/>
  <c r="H21" i="2"/>
  <c r="H13"/>
  <c r="E179" i="3"/>
  <c r="D179"/>
  <c r="M14" i="2"/>
  <c r="H287" i="3"/>
  <c r="G287"/>
  <c r="F283"/>
  <c r="F281"/>
  <c r="F280"/>
  <c r="F278"/>
  <c r="F275"/>
  <c r="F274"/>
  <c r="F264"/>
  <c r="F262"/>
  <c r="F251"/>
  <c r="F246"/>
  <c r="F243"/>
  <c r="F239"/>
  <c r="F227"/>
  <c r="F226"/>
  <c r="F223"/>
  <c r="F219"/>
  <c r="F218"/>
  <c r="F214"/>
  <c r="F216"/>
  <c r="F210"/>
  <c r="F203"/>
  <c r="F197"/>
  <c r="F196"/>
  <c r="F193"/>
  <c r="F187"/>
  <c r="F186"/>
  <c r="F185"/>
  <c r="F179"/>
  <c r="F178"/>
  <c r="F173"/>
  <c r="F170"/>
  <c r="F166"/>
  <c r="F165"/>
  <c r="F164"/>
  <c r="F154"/>
  <c r="F153"/>
  <c r="F152"/>
  <c r="F149"/>
  <c r="F139"/>
  <c r="F138"/>
  <c r="F137"/>
  <c r="F136"/>
  <c r="F126"/>
  <c r="F125"/>
  <c r="F123"/>
  <c r="F284"/>
  <c r="F285"/>
  <c r="F122"/>
  <c r="F282"/>
  <c r="F117"/>
  <c r="F116"/>
  <c r="F272"/>
  <c r="F114"/>
  <c r="F279"/>
  <c r="F111"/>
  <c r="F268"/>
  <c r="F110"/>
  <c r="F267"/>
  <c r="F269"/>
  <c r="F109"/>
  <c r="F108"/>
  <c r="F265"/>
  <c r="F106"/>
  <c r="F261"/>
  <c r="F263"/>
  <c r="F99"/>
  <c r="F95"/>
  <c r="F96"/>
  <c r="F90"/>
  <c r="F87"/>
  <c r="F81"/>
  <c r="F77"/>
  <c r="F74"/>
  <c r="F66"/>
  <c r="F63"/>
  <c r="F273"/>
  <c r="F276"/>
  <c r="F61"/>
  <c r="F271"/>
  <c r="F55"/>
  <c r="F52"/>
  <c r="F49"/>
  <c r="F46"/>
  <c r="F25"/>
  <c r="F24"/>
  <c r="F43"/>
  <c r="F42"/>
  <c r="F44"/>
  <c r="F41"/>
  <c r="F40"/>
  <c r="F45"/>
  <c r="F36"/>
  <c r="F37"/>
  <c r="F29"/>
  <c r="F30"/>
  <c r="F22"/>
  <c r="F17"/>
  <c r="F16"/>
  <c r="F15"/>
  <c r="E73"/>
  <c r="E63"/>
  <c r="D73"/>
  <c r="G281"/>
  <c r="H281"/>
  <c r="I281"/>
  <c r="E75"/>
  <c r="K75"/>
  <c r="D75"/>
  <c r="J75"/>
  <c r="D63"/>
  <c r="E58"/>
  <c r="D58"/>
  <c r="E72"/>
  <c r="D72"/>
  <c r="E69"/>
  <c r="D69"/>
  <c r="E68"/>
  <c r="D68"/>
  <c r="E64"/>
  <c r="D64"/>
  <c r="D66"/>
  <c r="E57"/>
  <c r="D57"/>
  <c r="D272"/>
  <c r="E51"/>
  <c r="D51"/>
  <c r="E141"/>
  <c r="D141"/>
  <c r="E62"/>
  <c r="D273"/>
  <c r="E175"/>
  <c r="E176"/>
  <c r="E83"/>
  <c r="D83"/>
  <c r="D176"/>
  <c r="D175"/>
  <c r="E123"/>
  <c r="D123"/>
  <c r="E111"/>
  <c r="K111"/>
  <c r="D111"/>
  <c r="I111"/>
  <c r="G282"/>
  <c r="H282"/>
  <c r="E67"/>
  <c r="E278"/>
  <c r="D62"/>
  <c r="I123"/>
  <c r="E122"/>
  <c r="E282"/>
  <c r="E118"/>
  <c r="E117"/>
  <c r="E116"/>
  <c r="E272"/>
  <c r="E114"/>
  <c r="E110"/>
  <c r="E108"/>
  <c r="E109"/>
  <c r="E106"/>
  <c r="E82"/>
  <c r="E48"/>
  <c r="E47"/>
  <c r="E50"/>
  <c r="E54"/>
  <c r="E53"/>
  <c r="E168"/>
  <c r="E167"/>
  <c r="E172"/>
  <c r="E171"/>
  <c r="E181"/>
  <c r="E178"/>
  <c r="E180"/>
  <c r="D106"/>
  <c r="E97"/>
  <c r="D97"/>
  <c r="D82"/>
  <c r="D54"/>
  <c r="D53"/>
  <c r="D48"/>
  <c r="D47"/>
  <c r="D49"/>
  <c r="D46"/>
  <c r="D50"/>
  <c r="E21"/>
  <c r="E20"/>
  <c r="E267"/>
  <c r="E269"/>
  <c r="E19"/>
  <c r="E264"/>
  <c r="E266"/>
  <c r="E18"/>
  <c r="E261"/>
  <c r="E263"/>
  <c r="D19"/>
  <c r="D21"/>
  <c r="D20"/>
  <c r="D18"/>
  <c r="D181"/>
  <c r="D180"/>
  <c r="D168"/>
  <c r="D170"/>
  <c r="D172"/>
  <c r="D171"/>
  <c r="D167"/>
  <c r="E159"/>
  <c r="E158"/>
  <c r="K158"/>
  <c r="E156"/>
  <c r="E155"/>
  <c r="D158"/>
  <c r="D156"/>
  <c r="D159"/>
  <c r="E130"/>
  <c r="E131"/>
  <c r="E126"/>
  <c r="E125"/>
  <c r="D131"/>
  <c r="D130"/>
  <c r="E202"/>
  <c r="K202"/>
  <c r="E201"/>
  <c r="E200"/>
  <c r="K200"/>
  <c r="K203"/>
  <c r="K197"/>
  <c r="K186"/>
  <c r="E199"/>
  <c r="E198"/>
  <c r="E195"/>
  <c r="E194"/>
  <c r="E196"/>
  <c r="E191"/>
  <c r="E190"/>
  <c r="E188"/>
  <c r="E187"/>
  <c r="E186"/>
  <c r="D202"/>
  <c r="D201"/>
  <c r="D200"/>
  <c r="D199"/>
  <c r="D198"/>
  <c r="D195"/>
  <c r="D194"/>
  <c r="D191"/>
  <c r="D190"/>
  <c r="D188"/>
  <c r="E242"/>
  <c r="E241"/>
  <c r="E243"/>
  <c r="E240"/>
  <c r="E239"/>
  <c r="K240"/>
  <c r="D240"/>
  <c r="E235"/>
  <c r="E232"/>
  <c r="E228"/>
  <c r="E222"/>
  <c r="E220"/>
  <c r="D228"/>
  <c r="D242"/>
  <c r="D241"/>
  <c r="D235"/>
  <c r="D232"/>
  <c r="D222"/>
  <c r="D220"/>
  <c r="E250"/>
  <c r="E249"/>
  <c r="E247"/>
  <c r="E252"/>
  <c r="D252"/>
  <c r="K254"/>
  <c r="J254"/>
  <c r="D250"/>
  <c r="J250"/>
  <c r="D249"/>
  <c r="D251"/>
  <c r="D247"/>
  <c r="D246"/>
  <c r="K253"/>
  <c r="J253"/>
  <c r="K248"/>
  <c r="J248"/>
  <c r="I179"/>
  <c r="K71"/>
  <c r="J71"/>
  <c r="I61"/>
  <c r="I63"/>
  <c r="D122"/>
  <c r="D282"/>
  <c r="D116"/>
  <c r="D114"/>
  <c r="D110"/>
  <c r="D108"/>
  <c r="I122"/>
  <c r="I282"/>
  <c r="I110"/>
  <c r="I267"/>
  <c r="I269"/>
  <c r="I108"/>
  <c r="I106"/>
  <c r="I116"/>
  <c r="I114"/>
  <c r="I279"/>
  <c r="K106"/>
  <c r="J122"/>
  <c r="J282"/>
  <c r="D118"/>
  <c r="D67"/>
  <c r="D155"/>
  <c r="G264"/>
  <c r="H264"/>
  <c r="I264"/>
  <c r="D264"/>
  <c r="E145"/>
  <c r="E144"/>
  <c r="K144"/>
  <c r="K278"/>
  <c r="D144"/>
  <c r="D145"/>
  <c r="J145"/>
  <c r="D268"/>
  <c r="J21"/>
  <c r="J106"/>
  <c r="E283"/>
  <c r="E280"/>
  <c r="E275"/>
  <c r="E273"/>
  <c r="E271"/>
  <c r="E265"/>
  <c r="E262"/>
  <c r="E251"/>
  <c r="E227"/>
  <c r="E225"/>
  <c r="K225"/>
  <c r="E224"/>
  <c r="E226"/>
  <c r="E223"/>
  <c r="E219"/>
  <c r="E218"/>
  <c r="E214"/>
  <c r="E216"/>
  <c r="E203"/>
  <c r="E193"/>
  <c r="E173"/>
  <c r="E154"/>
  <c r="E153"/>
  <c r="E152"/>
  <c r="E149"/>
  <c r="E143"/>
  <c r="K143"/>
  <c r="K139"/>
  <c r="E142"/>
  <c r="K142"/>
  <c r="E137"/>
  <c r="E136"/>
  <c r="E101"/>
  <c r="E284"/>
  <c r="E285"/>
  <c r="E95"/>
  <c r="E96"/>
  <c r="E90"/>
  <c r="E87"/>
  <c r="E81"/>
  <c r="E77"/>
  <c r="G284"/>
  <c r="H284"/>
  <c r="I284"/>
  <c r="J158"/>
  <c r="G279"/>
  <c r="H279"/>
  <c r="K162"/>
  <c r="J162"/>
  <c r="K161"/>
  <c r="J161"/>
  <c r="D101"/>
  <c r="D284"/>
  <c r="D285"/>
  <c r="D143"/>
  <c r="D142"/>
  <c r="K195"/>
  <c r="J194"/>
  <c r="G77"/>
  <c r="H77"/>
  <c r="I77"/>
  <c r="D77"/>
  <c r="K79"/>
  <c r="J79"/>
  <c r="K78"/>
  <c r="K77"/>
  <c r="J78"/>
  <c r="J77"/>
  <c r="I271"/>
  <c r="I270"/>
  <c r="I49"/>
  <c r="I214"/>
  <c r="I210"/>
  <c r="H214"/>
  <c r="H210"/>
  <c r="G214"/>
  <c r="G210"/>
  <c r="D214"/>
  <c r="D210"/>
  <c r="K213"/>
  <c r="J213"/>
  <c r="K212"/>
  <c r="K214"/>
  <c r="K216"/>
  <c r="J212"/>
  <c r="K211"/>
  <c r="J211"/>
  <c r="I227"/>
  <c r="D227"/>
  <c r="K231"/>
  <c r="J231"/>
  <c r="D225"/>
  <c r="J225"/>
  <c r="D224"/>
  <c r="D226"/>
  <c r="D219"/>
  <c r="G280"/>
  <c r="H280"/>
  <c r="I280"/>
  <c r="D280"/>
  <c r="I243"/>
  <c r="I239"/>
  <c r="D243"/>
  <c r="D239"/>
  <c r="J242"/>
  <c r="K241"/>
  <c r="J241"/>
  <c r="J243"/>
  <c r="J239"/>
  <c r="H243"/>
  <c r="H239"/>
  <c r="H218"/>
  <c r="G243"/>
  <c r="G239"/>
  <c r="G218"/>
  <c r="J240"/>
  <c r="H216"/>
  <c r="G216"/>
  <c r="D216"/>
  <c r="K215"/>
  <c r="J215"/>
  <c r="K255"/>
  <c r="J255"/>
  <c r="K252"/>
  <c r="J252"/>
  <c r="K257"/>
  <c r="J257"/>
  <c r="K147"/>
  <c r="J147"/>
  <c r="K151"/>
  <c r="J151"/>
  <c r="D52"/>
  <c r="J168"/>
  <c r="G139"/>
  <c r="G138"/>
  <c r="H139"/>
  <c r="H138"/>
  <c r="I139"/>
  <c r="I138"/>
  <c r="G278"/>
  <c r="H278"/>
  <c r="I278"/>
  <c r="J142"/>
  <c r="K145"/>
  <c r="J144"/>
  <c r="G81"/>
  <c r="H81"/>
  <c r="I81"/>
  <c r="D81"/>
  <c r="K83"/>
  <c r="J83"/>
  <c r="D274"/>
  <c r="G87"/>
  <c r="H87"/>
  <c r="I87"/>
  <c r="D87"/>
  <c r="G283"/>
  <c r="G285"/>
  <c r="H283"/>
  <c r="I283"/>
  <c r="I285"/>
  <c r="H285"/>
  <c r="D283"/>
  <c r="G274"/>
  <c r="H274"/>
  <c r="I274"/>
  <c r="G273"/>
  <c r="H273"/>
  <c r="I273"/>
  <c r="G275"/>
  <c r="H275"/>
  <c r="H276"/>
  <c r="I275"/>
  <c r="D275"/>
  <c r="G271"/>
  <c r="H271"/>
  <c r="H270"/>
  <c r="G272"/>
  <c r="H272"/>
  <c r="I272"/>
  <c r="D271"/>
  <c r="G267"/>
  <c r="G269"/>
  <c r="H267"/>
  <c r="G268"/>
  <c r="H268"/>
  <c r="I268"/>
  <c r="D267"/>
  <c r="G265"/>
  <c r="H265"/>
  <c r="I265"/>
  <c r="D265"/>
  <c r="G262"/>
  <c r="H262"/>
  <c r="I262"/>
  <c r="D262"/>
  <c r="G261"/>
  <c r="H261"/>
  <c r="H263"/>
  <c r="I261"/>
  <c r="G251"/>
  <c r="H251"/>
  <c r="I251"/>
  <c r="I246"/>
  <c r="K235"/>
  <c r="J235"/>
  <c r="K234"/>
  <c r="J234"/>
  <c r="K233"/>
  <c r="J233"/>
  <c r="K232"/>
  <c r="J232"/>
  <c r="K230"/>
  <c r="J230"/>
  <c r="K229"/>
  <c r="J229"/>
  <c r="K228"/>
  <c r="K227"/>
  <c r="J228"/>
  <c r="J227"/>
  <c r="K224"/>
  <c r="K226"/>
  <c r="J221"/>
  <c r="K221"/>
  <c r="K223"/>
  <c r="K219"/>
  <c r="J222"/>
  <c r="K222"/>
  <c r="K220"/>
  <c r="J220"/>
  <c r="G178"/>
  <c r="H178"/>
  <c r="I178"/>
  <c r="D178"/>
  <c r="K175"/>
  <c r="J175"/>
  <c r="G126"/>
  <c r="G125"/>
  <c r="H126"/>
  <c r="H286"/>
  <c r="I126"/>
  <c r="I125"/>
  <c r="D126"/>
  <c r="D125"/>
  <c r="G117"/>
  <c r="H117"/>
  <c r="I117"/>
  <c r="D117"/>
  <c r="G99"/>
  <c r="H99"/>
  <c r="I99"/>
  <c r="K57"/>
  <c r="J57"/>
  <c r="K176"/>
  <c r="J176"/>
  <c r="G154"/>
  <c r="G153"/>
  <c r="G152"/>
  <c r="G149"/>
  <c r="H154"/>
  <c r="H153"/>
  <c r="H152"/>
  <c r="H149"/>
  <c r="I154"/>
  <c r="I153"/>
  <c r="I152"/>
  <c r="I149"/>
  <c r="J143"/>
  <c r="J141"/>
  <c r="J18"/>
  <c r="K18"/>
  <c r="J182"/>
  <c r="K182"/>
  <c r="J131"/>
  <c r="J119"/>
  <c r="K119"/>
  <c r="K114"/>
  <c r="J114"/>
  <c r="D74"/>
  <c r="K58"/>
  <c r="K279"/>
  <c r="J58"/>
  <c r="K189"/>
  <c r="K190"/>
  <c r="J189"/>
  <c r="J190"/>
  <c r="K250"/>
  <c r="K249"/>
  <c r="J249"/>
  <c r="J251"/>
  <c r="K247"/>
  <c r="J155"/>
  <c r="J156"/>
  <c r="J157"/>
  <c r="J159"/>
  <c r="J154"/>
  <c r="J153"/>
  <c r="J152"/>
  <c r="J149"/>
  <c r="K156"/>
  <c r="K157"/>
  <c r="K159"/>
  <c r="J120"/>
  <c r="K120"/>
  <c r="K48"/>
  <c r="J48"/>
  <c r="J47"/>
  <c r="G22"/>
  <c r="G17"/>
  <c r="G16"/>
  <c r="H22"/>
  <c r="H17"/>
  <c r="H16"/>
  <c r="I22"/>
  <c r="I17"/>
  <c r="I16"/>
  <c r="J20"/>
  <c r="J22"/>
  <c r="J17"/>
  <c r="J16"/>
  <c r="K20"/>
  <c r="K21"/>
  <c r="K19"/>
  <c r="J19"/>
  <c r="I40"/>
  <c r="I41"/>
  <c r="I42"/>
  <c r="I43"/>
  <c r="D42"/>
  <c r="D41"/>
  <c r="J41"/>
  <c r="K68"/>
  <c r="K69"/>
  <c r="K97"/>
  <c r="J67"/>
  <c r="J169"/>
  <c r="J170"/>
  <c r="K179"/>
  <c r="K171"/>
  <c r="K167"/>
  <c r="K199"/>
  <c r="K116"/>
  <c r="K50"/>
  <c r="E22"/>
  <c r="E40"/>
  <c r="K40"/>
  <c r="J123"/>
  <c r="J61"/>
  <c r="J167"/>
  <c r="J110"/>
  <c r="J116"/>
  <c r="J69"/>
  <c r="J100"/>
  <c r="J121"/>
  <c r="J180"/>
  <c r="K82"/>
  <c r="K81"/>
  <c r="J82"/>
  <c r="J81"/>
  <c r="J256"/>
  <c r="J258"/>
  <c r="K256"/>
  <c r="K258"/>
  <c r="J85"/>
  <c r="J280"/>
  <c r="K85"/>
  <c r="K280"/>
  <c r="E41"/>
  <c r="K41"/>
  <c r="E42"/>
  <c r="K42"/>
  <c r="K44"/>
  <c r="J130"/>
  <c r="K130"/>
  <c r="K131"/>
  <c r="K181"/>
  <c r="K100"/>
  <c r="K121"/>
  <c r="J191"/>
  <c r="J205"/>
  <c r="J206"/>
  <c r="J204"/>
  <c r="J198"/>
  <c r="J208"/>
  <c r="J202"/>
  <c r="J200"/>
  <c r="J199"/>
  <c r="J207"/>
  <c r="K191"/>
  <c r="K194"/>
  <c r="K196"/>
  <c r="K204"/>
  <c r="K198"/>
  <c r="K206"/>
  <c r="K208"/>
  <c r="K207"/>
  <c r="J97"/>
  <c r="J87"/>
  <c r="J92"/>
  <c r="J50"/>
  <c r="J53"/>
  <c r="J93"/>
  <c r="J94"/>
  <c r="J95"/>
  <c r="J96"/>
  <c r="J62"/>
  <c r="J65"/>
  <c r="J275"/>
  <c r="J88"/>
  <c r="J89"/>
  <c r="J90"/>
  <c r="J72"/>
  <c r="J283"/>
  <c r="J171"/>
  <c r="J172"/>
  <c r="J179"/>
  <c r="J183"/>
  <c r="J101"/>
  <c r="J127"/>
  <c r="J128"/>
  <c r="J107"/>
  <c r="J108"/>
  <c r="J118"/>
  <c r="J133"/>
  <c r="J134"/>
  <c r="J135"/>
  <c r="K92"/>
  <c r="K96"/>
  <c r="K53"/>
  <c r="K93"/>
  <c r="K94"/>
  <c r="K95"/>
  <c r="K64"/>
  <c r="K65"/>
  <c r="K275"/>
  <c r="K67"/>
  <c r="K88"/>
  <c r="K89"/>
  <c r="K72"/>
  <c r="K283"/>
  <c r="K73"/>
  <c r="K284"/>
  <c r="K172"/>
  <c r="K173"/>
  <c r="K169"/>
  <c r="K180"/>
  <c r="K183"/>
  <c r="K127"/>
  <c r="K128"/>
  <c r="K107"/>
  <c r="K108"/>
  <c r="K109"/>
  <c r="K118"/>
  <c r="K117"/>
  <c r="K123"/>
  <c r="K133"/>
  <c r="K134"/>
  <c r="K137"/>
  <c r="K135"/>
  <c r="G40"/>
  <c r="G42"/>
  <c r="G43"/>
  <c r="G44"/>
  <c r="G41"/>
  <c r="G109"/>
  <c r="G112"/>
  <c r="G105"/>
  <c r="G104"/>
  <c r="G103"/>
  <c r="G170"/>
  <c r="G173"/>
  <c r="G137"/>
  <c r="H40"/>
  <c r="H42"/>
  <c r="H43"/>
  <c r="H44"/>
  <c r="H45"/>
  <c r="H41"/>
  <c r="H109"/>
  <c r="H112"/>
  <c r="H105"/>
  <c r="H104"/>
  <c r="H103"/>
  <c r="H170"/>
  <c r="H173"/>
  <c r="H166"/>
  <c r="H165"/>
  <c r="H137"/>
  <c r="I170"/>
  <c r="I109"/>
  <c r="I137"/>
  <c r="D109"/>
  <c r="D137"/>
  <c r="E49"/>
  <c r="E74"/>
  <c r="I66"/>
  <c r="I60"/>
  <c r="I74"/>
  <c r="I52"/>
  <c r="G193"/>
  <c r="H193"/>
  <c r="H187"/>
  <c r="G136"/>
  <c r="H136"/>
  <c r="I136"/>
  <c r="D136"/>
  <c r="D223"/>
  <c r="G49"/>
  <c r="G52"/>
  <c r="G55"/>
  <c r="G66"/>
  <c r="G60"/>
  <c r="G25"/>
  <c r="G24"/>
  <c r="G74"/>
  <c r="H49"/>
  <c r="H52"/>
  <c r="H55"/>
  <c r="H46"/>
  <c r="H25"/>
  <c r="H24"/>
  <c r="H66"/>
  <c r="H60"/>
  <c r="H74"/>
  <c r="G196"/>
  <c r="G203"/>
  <c r="G197"/>
  <c r="H196"/>
  <c r="H203"/>
  <c r="H197"/>
  <c r="I196"/>
  <c r="I203"/>
  <c r="I197"/>
  <c r="K33"/>
  <c r="K34"/>
  <c r="K35"/>
  <c r="J33"/>
  <c r="J34"/>
  <c r="J35"/>
  <c r="J36"/>
  <c r="J37"/>
  <c r="I36"/>
  <c r="I37"/>
  <c r="H36"/>
  <c r="H37"/>
  <c r="G36"/>
  <c r="G37"/>
  <c r="E36"/>
  <c r="E37"/>
  <c r="D36"/>
  <c r="D37"/>
  <c r="J26"/>
  <c r="J27"/>
  <c r="J28"/>
  <c r="J29"/>
  <c r="J30"/>
  <c r="K26"/>
  <c r="K27"/>
  <c r="K28"/>
  <c r="K29"/>
  <c r="K30"/>
  <c r="G90"/>
  <c r="H90"/>
  <c r="I90"/>
  <c r="D90"/>
  <c r="I95"/>
  <c r="I96"/>
  <c r="H95"/>
  <c r="H96"/>
  <c r="G95"/>
  <c r="G96"/>
  <c r="D95"/>
  <c r="D96"/>
  <c r="E29"/>
  <c r="E30"/>
  <c r="G29"/>
  <c r="G30"/>
  <c r="H29"/>
  <c r="H30"/>
  <c r="I29"/>
  <c r="I30"/>
  <c r="D29"/>
  <c r="D30"/>
  <c r="D22"/>
  <c r="D17"/>
  <c r="D16"/>
  <c r="I223"/>
  <c r="J68"/>
  <c r="J73"/>
  <c r="J284"/>
  <c r="J192"/>
  <c r="J193"/>
  <c r="D193"/>
  <c r="K51"/>
  <c r="I55"/>
  <c r="I46"/>
  <c r="I25"/>
  <c r="I24"/>
  <c r="J188"/>
  <c r="K188"/>
  <c r="K63"/>
  <c r="K273"/>
  <c r="I193"/>
  <c r="I187"/>
  <c r="I186"/>
  <c r="J201"/>
  <c r="J203"/>
  <c r="J197"/>
  <c r="D203"/>
  <c r="D197"/>
  <c r="J195"/>
  <c r="K54"/>
  <c r="K55"/>
  <c r="E55"/>
  <c r="K201"/>
  <c r="J51"/>
  <c r="J52"/>
  <c r="J46"/>
  <c r="K192"/>
  <c r="K193"/>
  <c r="K101"/>
  <c r="K99"/>
  <c r="I226"/>
  <c r="I219"/>
  <c r="I218"/>
  <c r="E52"/>
  <c r="E46"/>
  <c r="E66"/>
  <c r="E60"/>
  <c r="I173"/>
  <c r="I166"/>
  <c r="I165"/>
  <c r="K168"/>
  <c r="K170"/>
  <c r="K166"/>
  <c r="K165"/>
  <c r="K62"/>
  <c r="K272"/>
  <c r="J54"/>
  <c r="K205"/>
  <c r="E43"/>
  <c r="E44"/>
  <c r="E45"/>
  <c r="J181"/>
  <c r="J178"/>
  <c r="J136"/>
  <c r="K136"/>
  <c r="J42"/>
  <c r="J223"/>
  <c r="G266"/>
  <c r="K74"/>
  <c r="J271"/>
  <c r="J265"/>
  <c r="J262"/>
  <c r="G187"/>
  <c r="G186"/>
  <c r="G185"/>
  <c r="K36"/>
  <c r="K37"/>
  <c r="G166"/>
  <c r="G165"/>
  <c r="G164"/>
  <c r="G276"/>
  <c r="G270"/>
  <c r="H266"/>
  <c r="I266"/>
  <c r="I276"/>
  <c r="G263"/>
  <c r="J137"/>
  <c r="K43"/>
  <c r="I44"/>
  <c r="I45"/>
  <c r="K66"/>
  <c r="J109"/>
  <c r="D139"/>
  <c r="D138"/>
  <c r="J138"/>
  <c r="J267"/>
  <c r="D196"/>
  <c r="D187"/>
  <c r="K61"/>
  <c r="K60"/>
  <c r="J64"/>
  <c r="J274"/>
  <c r="J247"/>
  <c r="K52"/>
  <c r="K262"/>
  <c r="K265"/>
  <c r="K87"/>
  <c r="J117"/>
  <c r="J196"/>
  <c r="K49"/>
  <c r="K46"/>
  <c r="K47"/>
  <c r="D55"/>
  <c r="D269"/>
  <c r="K22"/>
  <c r="K17"/>
  <c r="K16"/>
  <c r="E17"/>
  <c r="E16"/>
  <c r="D43"/>
  <c r="K110"/>
  <c r="I112"/>
  <c r="I105"/>
  <c r="I104"/>
  <c r="I103"/>
  <c r="K251"/>
  <c r="K178"/>
  <c r="J55"/>
  <c r="J261"/>
  <c r="J263"/>
  <c r="K210"/>
  <c r="E274"/>
  <c r="E276"/>
  <c r="E279"/>
  <c r="K155"/>
  <c r="K154"/>
  <c r="K153"/>
  <c r="K152"/>
  <c r="K149"/>
  <c r="K141"/>
  <c r="E139"/>
  <c r="E138"/>
  <c r="K138"/>
  <c r="J43"/>
  <c r="J44"/>
  <c r="D44"/>
  <c r="K267"/>
  <c r="K274"/>
  <c r="J278"/>
  <c r="J264"/>
  <c r="J266"/>
  <c r="K261"/>
  <c r="K263"/>
  <c r="J99"/>
  <c r="I263"/>
  <c r="J49"/>
  <c r="D261"/>
  <c r="D263"/>
  <c r="D40"/>
  <c r="D45"/>
  <c r="K126"/>
  <c r="K125"/>
  <c r="J126"/>
  <c r="J125"/>
  <c r="J40"/>
  <c r="E268"/>
  <c r="E112"/>
  <c r="E105"/>
  <c r="E104"/>
  <c r="E103"/>
  <c r="J111"/>
  <c r="J112"/>
  <c r="J105"/>
  <c r="J104"/>
  <c r="J103"/>
  <c r="D276"/>
  <c r="J272"/>
  <c r="J63"/>
  <c r="J66"/>
  <c r="J60"/>
  <c r="J273"/>
  <c r="J276"/>
  <c r="J74"/>
  <c r="F266"/>
  <c r="F60"/>
  <c r="F112"/>
  <c r="F105"/>
  <c r="F104"/>
  <c r="F103"/>
  <c r="J45"/>
  <c r="K187"/>
  <c r="J285"/>
  <c r="G45"/>
  <c r="J139"/>
  <c r="G246"/>
  <c r="D60"/>
  <c r="D279"/>
  <c r="E246"/>
  <c r="E197"/>
  <c r="D281"/>
  <c r="K281"/>
  <c r="K271"/>
  <c r="J187"/>
  <c r="G46"/>
  <c r="K90"/>
  <c r="J173"/>
  <c r="J166"/>
  <c r="J165"/>
  <c r="D99"/>
  <c r="J224"/>
  <c r="J226"/>
  <c r="J219"/>
  <c r="J218"/>
  <c r="H246"/>
  <c r="D266"/>
  <c r="H269"/>
  <c r="I216"/>
  <c r="K242"/>
  <c r="K243"/>
  <c r="K239"/>
  <c r="J214"/>
  <c r="J210"/>
  <c r="E99"/>
  <c r="E170"/>
  <c r="E166"/>
  <c r="E165"/>
  <c r="D154"/>
  <c r="D153"/>
  <c r="D152"/>
  <c r="D149"/>
  <c r="D112"/>
  <c r="D173"/>
  <c r="E281"/>
  <c r="J281"/>
  <c r="H245"/>
  <c r="J216"/>
  <c r="D166"/>
  <c r="D165"/>
  <c r="I245"/>
  <c r="G245"/>
  <c r="J246"/>
  <c r="D245"/>
  <c r="K246"/>
  <c r="E245"/>
  <c r="D105"/>
  <c r="D104"/>
  <c r="D103"/>
  <c r="D278"/>
  <c r="E210"/>
  <c r="K245"/>
  <c r="J245"/>
  <c r="K276"/>
  <c r="K270"/>
  <c r="E25"/>
  <c r="K15"/>
  <c r="K25"/>
  <c r="K24"/>
  <c r="D25"/>
  <c r="D24"/>
  <c r="D270"/>
  <c r="D287"/>
  <c r="D24" i="2"/>
  <c r="D13" s="1"/>
  <c r="I13" s="1"/>
  <c r="E24" i="3"/>
  <c r="E15"/>
  <c r="K112"/>
  <c r="K105"/>
  <c r="K104"/>
  <c r="K103"/>
  <c r="K268"/>
  <c r="J25"/>
  <c r="J24"/>
  <c r="J186"/>
  <c r="J185"/>
  <c r="J286"/>
  <c r="K45"/>
  <c r="I15"/>
  <c r="H15"/>
  <c r="E270"/>
  <c r="F270"/>
  <c r="F287"/>
  <c r="F245"/>
  <c r="F286"/>
  <c r="K269"/>
  <c r="D185"/>
  <c r="D286"/>
  <c r="I185"/>
  <c r="I286"/>
  <c r="I287"/>
  <c r="E24" i="2"/>
  <c r="E13" s="1"/>
  <c r="H186" i="3"/>
  <c r="H185"/>
  <c r="H164"/>
  <c r="K285"/>
  <c r="J15"/>
  <c r="G15"/>
  <c r="K218"/>
  <c r="E185"/>
  <c r="E286"/>
  <c r="E287"/>
  <c r="K185"/>
  <c r="K286"/>
  <c r="J279"/>
  <c r="J270"/>
  <c r="G286"/>
  <c r="J268"/>
  <c r="J269"/>
  <c r="K264"/>
  <c r="K266"/>
  <c r="H125"/>
  <c r="K122"/>
  <c r="K282"/>
  <c r="D15"/>
  <c r="I164"/>
  <c r="K287"/>
  <c r="K164"/>
  <c r="J164"/>
  <c r="D164"/>
  <c r="J287"/>
  <c r="E164"/>
  <c r="E21" i="2" l="1"/>
</calcChain>
</file>

<file path=xl/sharedStrings.xml><?xml version="1.0" encoding="utf-8"?>
<sst xmlns="http://schemas.openxmlformats.org/spreadsheetml/2006/main" count="541" uniqueCount="314">
  <si>
    <t>Месячный отчет об исполнении бюджета</t>
  </si>
  <si>
    <t>на 01.05.05</t>
  </si>
  <si>
    <t>Периодичность: месячная</t>
  </si>
  <si>
    <t>Единица измерения: руб.</t>
  </si>
  <si>
    <t>Наименование показателя</t>
  </si>
  <si>
    <t>Исполнено</t>
  </si>
  <si>
    <t>Неисполненные назначения</t>
  </si>
  <si>
    <t>2. Расходы бюджета</t>
  </si>
  <si>
    <t>Код расхода по ФКР (Р/ПР, ЦСР, ВР), ЭКР</t>
  </si>
  <si>
    <t>Бюджетные ассигнования, утвержденные законом о бюджете, нормативными правовыми актами о бюджете</t>
  </si>
  <si>
    <t>Лимиты бюджетных обязательств</t>
  </si>
  <si>
    <t>по ассигнованиям</t>
  </si>
  <si>
    <t>по лимитам бюджетных обязательств</t>
  </si>
  <si>
    <t>Форма по ОКУД</t>
  </si>
  <si>
    <t>Заработная плата</t>
  </si>
  <si>
    <t>Услуги связи</t>
  </si>
  <si>
    <t xml:space="preserve">Транспортные услуги </t>
  </si>
  <si>
    <t>Коммунальные услуги</t>
  </si>
  <si>
    <t>Услуги по содержанию имущества</t>
  </si>
  <si>
    <t>Прочие услуги</t>
  </si>
  <si>
    <t>Прочие расходы</t>
  </si>
  <si>
    <t>Увеличение стоимости основных средств</t>
  </si>
  <si>
    <t>Перечисления другим бюджетам бюджетной системы Российской Федерации</t>
  </si>
  <si>
    <t>ВСЕГО</t>
  </si>
  <si>
    <t xml:space="preserve">Заработная плата </t>
  </si>
  <si>
    <t>оплата труда работников по  ЕТС</t>
  </si>
  <si>
    <t>на компенсацию расходов по оплате стоимости проезда и провоза багажа к месту использования отпуска и обратно</t>
  </si>
  <si>
    <t>суточные при служебных командировках и командировках на курсы повышения квалификации</t>
  </si>
  <si>
    <t>потребление электроэнергии</t>
  </si>
  <si>
    <t>водоснабжение</t>
  </si>
  <si>
    <t>Увеличение стоимости материальных запасов - ГСМ</t>
  </si>
  <si>
    <t>Коммун. услуги в потребление тепловой энергии</t>
  </si>
  <si>
    <t>02030013600500212010</t>
  </si>
  <si>
    <t>код строки</t>
  </si>
  <si>
    <t>2</t>
  </si>
  <si>
    <t>07094529900001310000</t>
  </si>
  <si>
    <t>3. Источники финансирования дефицитов бюджетов</t>
  </si>
  <si>
    <t xml:space="preserve"> Наименование показателя</t>
  </si>
  <si>
    <t>Код
стро-
ки</t>
  </si>
  <si>
    <t>Код источника финансирования
по КИВФ, КИВнФ</t>
  </si>
  <si>
    <t>Утвержденные бюджетные назначения</t>
  </si>
  <si>
    <t>через финансовые органы</t>
  </si>
  <si>
    <t xml:space="preserve">через банковские счета </t>
  </si>
  <si>
    <t>некассовые операции</t>
  </si>
  <si>
    <t>итого</t>
  </si>
  <si>
    <t>1</t>
  </si>
  <si>
    <t>3</t>
  </si>
  <si>
    <t>Источники финансирования дефицита бюджетов - всего</t>
  </si>
  <si>
    <t>х</t>
  </si>
  <si>
    <t>-</t>
  </si>
  <si>
    <t>в том числе:</t>
  </si>
  <si>
    <t>Источники внутреннего финансирования бюджетов</t>
  </si>
  <si>
    <t xml:space="preserve">   из них:</t>
  </si>
  <si>
    <t>Источники внешнего финансирования бюджетов</t>
  </si>
  <si>
    <t xml:space="preserve">   из них</t>
  </si>
  <si>
    <t>Изменение остатков средств</t>
  </si>
  <si>
    <t>Изменение остатков по расчетам          (стр.810 + 820)</t>
  </si>
  <si>
    <t>изменение остатков по расчетам с органами, организующими исполнение бюджетов
(стр.811 + 812)</t>
  </si>
  <si>
    <t>увеличение счетов расчетов (дебетовый остаток счета 121002000)</t>
  </si>
  <si>
    <t>уменьшение счетов расчетов (кредитовый остаток счета 130405000)</t>
  </si>
  <si>
    <t>Изменение остатков по внутренним расчетам (стр.821 + стр. 822)</t>
  </si>
  <si>
    <t xml:space="preserve">  в том числе:</t>
  </si>
  <si>
    <t>увеличение остатков по внутренним расчетам</t>
  </si>
  <si>
    <t xml:space="preserve">уменьшение остатков по внутренним расчетам </t>
  </si>
  <si>
    <t>Глава администрации</t>
  </si>
  <si>
    <t>Главный бухгалтер</t>
  </si>
  <si>
    <t>А.Н. Саенко</t>
  </si>
  <si>
    <t>03145224891500310000</t>
  </si>
  <si>
    <t>03149224801500310000</t>
  </si>
  <si>
    <t>СВОД</t>
  </si>
  <si>
    <t>211010</t>
  </si>
  <si>
    <t>211020</t>
  </si>
  <si>
    <t>212010</t>
  </si>
  <si>
    <t>212020</t>
  </si>
  <si>
    <t>213010</t>
  </si>
  <si>
    <t>213020</t>
  </si>
  <si>
    <t>222000</t>
  </si>
  <si>
    <t>223010</t>
  </si>
  <si>
    <t>223020</t>
  </si>
  <si>
    <t>223030</t>
  </si>
  <si>
    <t>225020</t>
  </si>
  <si>
    <t>290000</t>
  </si>
  <si>
    <t>310000</t>
  </si>
  <si>
    <t>340030</t>
  </si>
  <si>
    <t>340050</t>
  </si>
  <si>
    <t>251000</t>
  </si>
  <si>
    <t>остаток    на конец отч.периода</t>
  </si>
  <si>
    <t>итого  213</t>
  </si>
  <si>
    <t>итого 211</t>
  </si>
  <si>
    <t>итого 212</t>
  </si>
  <si>
    <t>итого 223</t>
  </si>
  <si>
    <t>итого 340</t>
  </si>
  <si>
    <t>итого 213</t>
  </si>
  <si>
    <t>О.Н. Башкирова</t>
  </si>
  <si>
    <t>05036000500500225020</t>
  </si>
  <si>
    <t>01028770101500211010</t>
  </si>
  <si>
    <t>01028770101500213010</t>
  </si>
  <si>
    <t>01028770101500213020</t>
  </si>
  <si>
    <t>01020000000500211010</t>
  </si>
  <si>
    <t>01020000000500212010</t>
  </si>
  <si>
    <t>01020000000500213010</t>
  </si>
  <si>
    <t>01020000000500213020</t>
  </si>
  <si>
    <t>Итого 0102 8770101:</t>
  </si>
  <si>
    <t>01048770101500211010</t>
  </si>
  <si>
    <t>01048770101500213010</t>
  </si>
  <si>
    <t>01048770101500213020</t>
  </si>
  <si>
    <t>ВСЕГО по разделу 01 02</t>
  </si>
  <si>
    <t>СВОД 0102</t>
  </si>
  <si>
    <t>08014409201001241021</t>
  </si>
  <si>
    <t xml:space="preserve"> - страховые взносы в федеральный бюджет (22%)</t>
  </si>
  <si>
    <t xml:space="preserve"> - страховые взносы в прочие фонды (8,2%)</t>
  </si>
  <si>
    <t>241000</t>
  </si>
  <si>
    <t>225010</t>
  </si>
  <si>
    <t>Прочие расходы (Резервный фонд)</t>
  </si>
  <si>
    <t>04070700400013226000</t>
  </si>
  <si>
    <t>с 01.10.2012</t>
  </si>
  <si>
    <t>01045226202500225020</t>
  </si>
  <si>
    <t>01047956015500225020</t>
  </si>
  <si>
    <t>04070700400013340030</t>
  </si>
  <si>
    <t>04070700400013340050</t>
  </si>
  <si>
    <t>ВСЕГО 0407</t>
  </si>
  <si>
    <t>01028650000500211010</t>
  </si>
  <si>
    <t>01028650000500213010</t>
  </si>
  <si>
    <t>01028650000500213020</t>
  </si>
  <si>
    <t>Итого 0102 8650000:</t>
  </si>
  <si>
    <t>Итого 0104 8770101500:</t>
  </si>
  <si>
    <t>прочие</t>
  </si>
  <si>
    <t>0310</t>
  </si>
  <si>
    <t>остаток  на 01.01.13</t>
  </si>
  <si>
    <t>01130447514244310000</t>
  </si>
  <si>
    <t>02030445118122226000</t>
  </si>
  <si>
    <t>02030445118244310000</t>
  </si>
  <si>
    <t>08010110061611241023</t>
  </si>
  <si>
    <t>08010110061611241120</t>
  </si>
  <si>
    <t>08010120061611241082</t>
  </si>
  <si>
    <t>08010120061611241120</t>
  </si>
  <si>
    <t xml:space="preserve">Прочие услуги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</si>
  <si>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</si>
  <si>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</si>
  <si>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</si>
  <si>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</si>
  <si>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</si>
  <si>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</si>
  <si>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0409</t>
  </si>
  <si>
    <t>НАЦИОНАЛЬНАЯ БЕЗОПАСНОСТЬ И ПРАВООХРАНИТЕЛЬНАЯ ДЕЯТЕЛЬНОСТЬ</t>
  </si>
  <si>
    <t>Обеспечение пожарной безопасности</t>
  </si>
  <si>
    <t>Оплата работ, услуг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</si>
  <si>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</si>
  <si>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</si>
  <si>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</si>
  <si>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</si>
  <si>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</si>
  <si>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Другие вопросы в области культуры, кинематографии</t>
  </si>
  <si>
    <t>Поступление нефинансовых активов</t>
  </si>
  <si>
    <t>Оплата труда и начисления на выплаты по оплате труда</t>
  </si>
  <si>
    <t>Начисления на выплаты по оплате труда</t>
  </si>
  <si>
    <t>Прочие выплаты</t>
  </si>
  <si>
    <t xml:space="preserve">000 0503 0000000 000 220 </t>
  </si>
  <si>
    <t xml:space="preserve">000 0503 0000000 000 000 </t>
  </si>
  <si>
    <t xml:space="preserve">000 0500 0000000 000 000 </t>
  </si>
  <si>
    <t xml:space="preserve">000 0800 0000000 000 000 </t>
  </si>
  <si>
    <t xml:space="preserve">000 0804 0000000 000 000 </t>
  </si>
  <si>
    <t xml:space="preserve">000 0804 0000000 000 210 </t>
  </si>
  <si>
    <t xml:space="preserve">000 0104 0000000 000 220 </t>
  </si>
  <si>
    <t>Увеличение стоимости материальных запасов</t>
  </si>
  <si>
    <t>Обеспечение деятельности (оказание услуг) подведомственных учреждений в рамках подпрограммы "  "Создание уловий для организации досуга и обеспечение жителей сельсовета услугами организации культуры" муниципальной программы  "Развитие культуры  муниципального образования Недокурский  сельсовет" на 2014-2016 годы</t>
  </si>
  <si>
    <t>Обеспечение деятельности (оказание услуг) подведомственных учреждений в рамках подпрограммы    "Организация  и развитие  библиотечного обслуживания населения,  обеспечение  прав граждан на свободный доступ к информации" муниципальной программы"Развитие культуры  муниципального  образования Недокурский сельсовет "на 2014-2016 годы</t>
  </si>
  <si>
    <t>Культура</t>
  </si>
  <si>
    <t>0801</t>
  </si>
  <si>
    <t>Резервный фонд</t>
  </si>
  <si>
    <t>0111</t>
  </si>
  <si>
    <t>0113</t>
  </si>
  <si>
    <t>02</t>
  </si>
  <si>
    <t>0203</t>
  </si>
  <si>
    <t>03</t>
  </si>
  <si>
    <t>04</t>
  </si>
  <si>
    <t>Физическая культура и спорт</t>
  </si>
  <si>
    <t>Массовый спорт</t>
  </si>
  <si>
    <t>1102</t>
  </si>
  <si>
    <t>11</t>
  </si>
  <si>
    <t>0104</t>
  </si>
  <si>
    <t>0102</t>
  </si>
  <si>
    <t>01</t>
  </si>
  <si>
    <t>Софинансирование расходов по энергосбережению и повышению энергетической эффективности в рамках подпрограммы  "Энергосбережение и повышение энергетической эффективности на территории муниципального образования Недокурский сельсовет" на 2014-2016 годы муниципальной программы «Улучшение жизнедеятельности населения муниципального образования Недокурский сельсовет» на 2014-2016 годы</t>
  </si>
  <si>
    <t>Иные межбюджетные трансферты, выделяемые из бюджета поселения в районный бюджет на реализацию решения Недокурского сельского Совета депутатов "О передаче осуществления части полномочий органов местного самоуправления поселения органам местного самоуправления муниципального района (в области градостроительной деятельности)"  в рамках непрограмных расходов</t>
  </si>
  <si>
    <t>Увеличение стоимости материальных запасов (прочих расходных материалов и предметов снабжения)</t>
  </si>
  <si>
    <t>0102 0410022 121 211010</t>
  </si>
  <si>
    <t>0102 0410022 121 213010</t>
  </si>
  <si>
    <t>0102 0410022 121 213020</t>
  </si>
  <si>
    <t>0104 0410021 121 211010</t>
  </si>
  <si>
    <t>0104 0410021 121 211020</t>
  </si>
  <si>
    <t>0104 0410021 122 212010</t>
  </si>
  <si>
    <t>0104 0410021 122 212020</t>
  </si>
  <si>
    <t>0104 0410021 121 213010</t>
  </si>
  <si>
    <t>0104 0410021 121 213020</t>
  </si>
  <si>
    <t>0104 0410021 122 222000</t>
  </si>
  <si>
    <t>0104 0410021 244 222000</t>
  </si>
  <si>
    <t>0104 0410021 244 223010</t>
  </si>
  <si>
    <t>0104 0410021 244 223020</t>
  </si>
  <si>
    <t>0104 0410021 244 223030</t>
  </si>
  <si>
    <t>0104 0410021 244 225020</t>
  </si>
  <si>
    <t>0104 0410021 244 290000</t>
  </si>
  <si>
    <t>0104 0410021 244 340030</t>
  </si>
  <si>
    <t>0104 0410021 244 340050</t>
  </si>
  <si>
    <t>0104 0410021 852 290000</t>
  </si>
  <si>
    <t>0104 0424101 540 251000</t>
  </si>
  <si>
    <t>0111 0431011 870 290000</t>
  </si>
  <si>
    <t>0113 0447514 244 340050</t>
  </si>
  <si>
    <t>0203 0445118 121 211010</t>
  </si>
  <si>
    <t>0203 0445118 122 212020</t>
  </si>
  <si>
    <t>0203 0445118 121 213010</t>
  </si>
  <si>
    <t>0203 0445118 121 213020</t>
  </si>
  <si>
    <t>0203 0445118 122 222000</t>
  </si>
  <si>
    <t>0203 0445118 244 225020</t>
  </si>
  <si>
    <t>0203 0445118 244 340050</t>
  </si>
  <si>
    <t>0409 0327508 244 225020</t>
  </si>
  <si>
    <t>0503 0334901 244 223020</t>
  </si>
  <si>
    <t>0804 0134403 112 212010</t>
  </si>
  <si>
    <t>0804 0134403 111 211020</t>
  </si>
  <si>
    <t>0804 0134403 112 212020</t>
  </si>
  <si>
    <t>0804 0134403 111 213010</t>
  </si>
  <si>
    <t>0804 0134403 111 213020</t>
  </si>
  <si>
    <t>0804 0134403 112 222000</t>
  </si>
  <si>
    <t>0804 0134403 244 225020</t>
  </si>
  <si>
    <t>0804 0134403 244 340050</t>
  </si>
  <si>
    <t>0801 0110061 611 241021</t>
  </si>
  <si>
    <t>0801 0110061 611 241010</t>
  </si>
  <si>
    <t>0801 0110061 611 241022</t>
  </si>
  <si>
    <t>0801 0110061 611 241031</t>
  </si>
  <si>
    <t>0801 0110061 611 241032</t>
  </si>
  <si>
    <t>0801 0110061 611 241040</t>
  </si>
  <si>
    <t>0801 0110061 611 241050</t>
  </si>
  <si>
    <t>0801 0110061 611 241061</t>
  </si>
  <si>
    <t>0801 0110061 611 241062</t>
  </si>
  <si>
    <t>0801 0110061 611 241063</t>
  </si>
  <si>
    <t>0801 0110061 611 241082</t>
  </si>
  <si>
    <t>0801 0110061 611 241090</t>
  </si>
  <si>
    <t>0801 0110061 611 241110</t>
  </si>
  <si>
    <t>0801 0110061 611 241135</t>
  </si>
  <si>
    <t>0801 0120061 611 241010</t>
  </si>
  <si>
    <t>0801 0120061 611 241021</t>
  </si>
  <si>
    <t>0801 0120061 611 241022</t>
  </si>
  <si>
    <t>0801 0120061 611 241031</t>
  </si>
  <si>
    <t>0801 0120061 611 241032</t>
  </si>
  <si>
    <t>0801 0120061 611 241040</t>
  </si>
  <si>
    <t>0801 0120061 611 241050</t>
  </si>
  <si>
    <t>0801 0120061 611 241090</t>
  </si>
  <si>
    <t>0801 0120061 611 241110</t>
  </si>
  <si>
    <t>0801 0120061 611 241135</t>
  </si>
  <si>
    <t>1102 0200061 611 241010</t>
  </si>
  <si>
    <t>1102 0200061 611 241031</t>
  </si>
  <si>
    <t>1102 0200061 611 241032</t>
  </si>
  <si>
    <t>0104 0344932 244 226010</t>
  </si>
  <si>
    <t>0104 0344936 244 226010</t>
  </si>
  <si>
    <t>0104 0410021 122 226010</t>
  </si>
  <si>
    <t>0104 0410021 244 221010</t>
  </si>
  <si>
    <t>0104 0410021 244 226010</t>
  </si>
  <si>
    <t>0203 0445118 122 226010</t>
  </si>
  <si>
    <t>0203 0445118 244 226010</t>
  </si>
  <si>
    <t>0310 0314931 244 226010</t>
  </si>
  <si>
    <t>0310 0314934 244 226010</t>
  </si>
  <si>
    <t>0409 0324935 244 226010</t>
  </si>
  <si>
    <t>0503 0334905 244 226010</t>
  </si>
  <si>
    <t>0503 0334904 244 226010</t>
  </si>
  <si>
    <t>0804 0134403 112 226010</t>
  </si>
  <si>
    <t>0804 0134403 244 221010</t>
  </si>
  <si>
    <t>0804 0134403 244 226010</t>
  </si>
  <si>
    <t>0409 0324908 244 225020</t>
  </si>
  <si>
    <t>0409 0327508 244 226010</t>
  </si>
  <si>
    <t>226010</t>
  </si>
  <si>
    <t>221010</t>
  </si>
  <si>
    <t>0409 0324933 244 225020</t>
  </si>
  <si>
    <t>0104 0410021</t>
  </si>
  <si>
    <t>Функционирование органов местного самоуправления</t>
  </si>
  <si>
    <t xml:space="preserve"> 0102 0000000 000 210 </t>
  </si>
  <si>
    <t>Итого Начисления на выплаты по оплате труда</t>
  </si>
  <si>
    <t>0412 0447466 540 251000</t>
  </si>
  <si>
    <t>0501 0447462 540 251000</t>
  </si>
  <si>
    <t>Субсидия бюджетам муниципальных образований на обеспечение мероприятий по переселению граждан из аварийного жилищного фонда, за исключением средств, поступивших от государственной корпорации-Фонда содействия реформирования ЖКХ и средств краевого бюджета, направляемых на долевое финансирование в рамках непрограммных расходов</t>
  </si>
  <si>
    <t>Субсидия бюджетам муниципальных образований на обеспечение мероприятий  на подготовку генеральных планов городских и сельских поселений, на разработку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"Стимулирование жилищного строительства на территории Красноярского края" государственной программы Красноярского края "Создание условий для обеспечения доступным  и комфортным жильем граждан Красноярского края"</t>
  </si>
  <si>
    <t>1102 0204506 612 241110</t>
  </si>
  <si>
    <t>1102 0207701 612 241090</t>
  </si>
  <si>
    <t>1102 0207701 612 241110</t>
  </si>
  <si>
    <t>1102 0207701 612 241120</t>
  </si>
  <si>
    <t>0801 0111021 611 241032</t>
  </si>
  <si>
    <t>0801 0121021 611 241010</t>
  </si>
  <si>
    <t>0801 0121021 611 241031</t>
  </si>
  <si>
    <t>0801 0121021 611 241032</t>
  </si>
  <si>
    <t>0801 0120061 611 241082</t>
  </si>
  <si>
    <t>Итого МРОТ</t>
  </si>
  <si>
    <t>1102 0200061 611 241090</t>
  </si>
  <si>
    <t>0104 0444936 244 226010</t>
  </si>
  <si>
    <t>0104 0447502 244 226010</t>
  </si>
  <si>
    <r>
      <rPr>
        <b/>
        <sz val="8"/>
        <rFont val="Times New Roman"/>
        <family val="1"/>
        <charset val="204"/>
      </rPr>
      <t>Непрограмные расходы</t>
    </r>
    <r>
      <rPr>
        <sz val="8"/>
        <rFont val="Times New Roman"/>
        <family val="1"/>
        <charset val="204"/>
      </rPr>
      <t xml:space="preserve">  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 в рамках подпрограммы "Энергосбережение и повышение энергетической эффективности в Красноярском крае государственной программы Красноярского края "Реформирование и модернизация жилищно коммунального хозяйства и повышение энергетической эффективности"</t>
    </r>
  </si>
  <si>
    <t>0503 0337741 244 226010</t>
  </si>
  <si>
    <t>0503 0334938 244 226010</t>
  </si>
  <si>
    <t>10001050201100000510</t>
  </si>
  <si>
    <t>10001050201100000610</t>
  </si>
  <si>
    <t>0503 0334905 244 340050</t>
  </si>
  <si>
    <t>0102 0410022 122 212010</t>
  </si>
  <si>
    <t>0203 0445118 244 310000</t>
  </si>
  <si>
    <t>0104 0410021 244 310000</t>
  </si>
  <si>
    <t>1102 0200061 611 241022</t>
  </si>
  <si>
    <t>1102 0200061 611 241110</t>
  </si>
  <si>
    <t>1102 0200061 611 241120</t>
  </si>
  <si>
    <t>0503</t>
  </si>
  <si>
    <t>через банковские счета</t>
  </si>
  <si>
    <t>33721,37+25341653-25322123,38</t>
  </si>
  <si>
    <t>23  января 2015 г.</t>
  </si>
  <si>
    <t>0801 0125146 612 241090</t>
  </si>
  <si>
    <t xml:space="preserve">     Форма 0503127  </t>
  </si>
  <si>
    <t xml:space="preserve">                        Форма 0503127  </t>
  </si>
  <si>
    <t>0104 0410021 121 210</t>
  </si>
  <si>
    <t>Увеличение стоимости материальных запасов (Прочих расходных материалов и предметов снабжения)</t>
  </si>
</sst>
</file>

<file path=xl/styles.xml><?xml version="1.0" encoding="utf-8"?>
<styleSheet xmlns="http://schemas.openxmlformats.org/spreadsheetml/2006/main">
  <numFmts count="2">
    <numFmt numFmtId="171" formatCode="_-* #,##0.00_$_-;\-* #,##0.00_$_-;_-* &quot;-&quot;??_$_-;_-@_-"/>
    <numFmt numFmtId="172" formatCode="00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sz val="9"/>
      <name val="Arial Cyr"/>
      <family val="2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Arial Cyr"/>
      <charset val="204"/>
    </font>
    <font>
      <sz val="10"/>
      <name val="Times New Roman"/>
      <family val="1"/>
      <charset val="204"/>
    </font>
    <font>
      <b/>
      <sz val="8"/>
      <name val="Arial Cyr"/>
      <charset val="204"/>
    </font>
    <font>
      <sz val="9"/>
      <color indexed="53"/>
      <name val="Times New Roman"/>
      <family val="1"/>
      <charset val="204"/>
    </font>
    <font>
      <b/>
      <sz val="9"/>
      <color indexed="53"/>
      <name val="Times New Roman"/>
      <family val="1"/>
      <charset val="204"/>
    </font>
    <font>
      <b/>
      <i/>
      <sz val="9"/>
      <color indexed="53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58">
    <xf numFmtId="0" fontId="0" fillId="0" borderId="0" xfId="0"/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172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/>
    </xf>
    <xf numFmtId="172" fontId="2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172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4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Continuous"/>
    </xf>
    <xf numFmtId="0" fontId="4" fillId="0" borderId="0" xfId="0" applyFont="1"/>
    <xf numFmtId="49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left" vertical="top"/>
    </xf>
    <xf numFmtId="49" fontId="8" fillId="0" borderId="0" xfId="0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/>
    </xf>
    <xf numFmtId="4" fontId="8" fillId="0" borderId="1" xfId="0" applyNumberFormat="1" applyFont="1" applyFill="1" applyBorder="1" applyAlignment="1">
      <alignment horizontal="right" vertical="top"/>
    </xf>
    <xf numFmtId="49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left" vertical="top"/>
    </xf>
    <xf numFmtId="4" fontId="7" fillId="0" borderId="1" xfId="0" applyNumberFormat="1" applyFont="1" applyFill="1" applyBorder="1" applyAlignment="1">
      <alignment horizontal="right" vertical="top"/>
    </xf>
    <xf numFmtId="49" fontId="9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/>
    </xf>
    <xf numFmtId="172" fontId="7" fillId="0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left" vertical="top"/>
    </xf>
    <xf numFmtId="4" fontId="11" fillId="0" borderId="1" xfId="0" applyNumberFormat="1" applyFont="1" applyFill="1" applyBorder="1" applyAlignment="1">
      <alignment horizontal="right" vertical="top"/>
    </xf>
    <xf numFmtId="49" fontId="13" fillId="0" borderId="1" xfId="0" applyNumberFormat="1" applyFont="1" applyFill="1" applyBorder="1" applyAlignment="1">
      <alignment horizontal="left" vertical="top"/>
    </xf>
    <xf numFmtId="4" fontId="13" fillId="0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/>
    </xf>
    <xf numFmtId="49" fontId="11" fillId="0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/>
    </xf>
    <xf numFmtId="49" fontId="8" fillId="0" borderId="0" xfId="0" applyNumberFormat="1" applyFont="1" applyFill="1" applyAlignment="1">
      <alignment horizontal="left" vertical="top" wrapText="1"/>
    </xf>
    <xf numFmtId="49" fontId="8" fillId="0" borderId="0" xfId="0" applyNumberFormat="1" applyFont="1" applyFill="1" applyAlignment="1">
      <alignment horizontal="left" vertical="top"/>
    </xf>
    <xf numFmtId="4" fontId="8" fillId="0" borderId="0" xfId="0" applyNumberFormat="1" applyFont="1" applyFill="1" applyAlignment="1">
      <alignment horizontal="right" vertical="top"/>
    </xf>
    <xf numFmtId="49" fontId="9" fillId="0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 vertical="top"/>
    </xf>
    <xf numFmtId="2" fontId="0" fillId="0" borderId="0" xfId="0" applyNumberFormat="1"/>
    <xf numFmtId="2" fontId="18" fillId="0" borderId="0" xfId="0" applyNumberFormat="1" applyFont="1"/>
    <xf numFmtId="0" fontId="4" fillId="0" borderId="0" xfId="0" applyFont="1" applyAlignment="1">
      <alignment wrapText="1"/>
    </xf>
    <xf numFmtId="4" fontId="4" fillId="0" borderId="0" xfId="0" applyNumberFormat="1" applyFont="1"/>
    <xf numFmtId="2" fontId="4" fillId="0" borderId="0" xfId="0" applyNumberFormat="1" applyFont="1"/>
    <xf numFmtId="49" fontId="8" fillId="0" borderId="1" xfId="0" applyNumberFormat="1" applyFont="1" applyFill="1" applyBorder="1" applyAlignment="1">
      <alignment horizontal="left" wrapText="1"/>
    </xf>
    <xf numFmtId="4" fontId="0" fillId="0" borderId="0" xfId="0" applyNumberFormat="1"/>
    <xf numFmtId="4" fontId="19" fillId="0" borderId="1" xfId="0" applyNumberFormat="1" applyFont="1" applyFill="1" applyBorder="1" applyAlignment="1">
      <alignment horizontal="right" vertical="top"/>
    </xf>
    <xf numFmtId="2" fontId="20" fillId="0" borderId="0" xfId="0" applyNumberFormat="1" applyFont="1" applyAlignment="1">
      <alignment horizontal="center" vertical="center" wrapText="1"/>
    </xf>
    <xf numFmtId="2" fontId="20" fillId="0" borderId="0" xfId="0" applyNumberFormat="1" applyFont="1" applyFill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top"/>
    </xf>
    <xf numFmtId="49" fontId="21" fillId="0" borderId="1" xfId="0" applyNumberFormat="1" applyFont="1" applyFill="1" applyBorder="1" applyAlignment="1">
      <alignment horizontal="left" vertical="top"/>
    </xf>
    <xf numFmtId="4" fontId="21" fillId="0" borderId="1" xfId="0" applyNumberFormat="1" applyFont="1" applyFill="1" applyBorder="1" applyAlignment="1">
      <alignment horizontal="right" vertical="top"/>
    </xf>
    <xf numFmtId="49" fontId="21" fillId="0" borderId="1" xfId="0" applyNumberFormat="1" applyFont="1" applyFill="1" applyBorder="1" applyAlignment="1">
      <alignment horizontal="left" vertical="top" wrapText="1"/>
    </xf>
    <xf numFmtId="172" fontId="22" fillId="0" borderId="1" xfId="0" applyNumberFormat="1" applyFont="1" applyFill="1" applyBorder="1" applyAlignment="1">
      <alignment horizontal="right" vertical="top"/>
    </xf>
    <xf numFmtId="4" fontId="22" fillId="0" borderId="1" xfId="0" applyNumberFormat="1" applyFont="1" applyFill="1" applyBorder="1" applyAlignment="1">
      <alignment horizontal="right" vertical="top"/>
    </xf>
    <xf numFmtId="49" fontId="22" fillId="0" borderId="1" xfId="0" applyNumberFormat="1" applyFont="1" applyFill="1" applyBorder="1" applyAlignment="1">
      <alignment horizontal="left" wrapText="1"/>
    </xf>
    <xf numFmtId="4" fontId="23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top" wrapText="1"/>
    </xf>
    <xf numFmtId="4" fontId="8" fillId="0" borderId="1" xfId="1" applyNumberFormat="1" applyFont="1" applyFill="1" applyBorder="1" applyAlignment="1">
      <alignment horizontal="right" vertical="top"/>
    </xf>
    <xf numFmtId="172" fontId="8" fillId="0" borderId="1" xfId="0" applyNumberFormat="1" applyFont="1" applyFill="1" applyBorder="1" applyAlignment="1">
      <alignment horizontal="right" vertical="top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/>
    <xf numFmtId="172" fontId="11" fillId="0" borderId="1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/>
    </xf>
    <xf numFmtId="0" fontId="7" fillId="0" borderId="0" xfId="0" applyFont="1" applyFill="1"/>
    <xf numFmtId="0" fontId="16" fillId="0" borderId="0" xfId="0" applyFont="1" applyFill="1" applyAlignment="1">
      <alignment horizontal="center"/>
    </xf>
    <xf numFmtId="172" fontId="7" fillId="0" borderId="1" xfId="0" applyNumberFormat="1" applyFont="1" applyFill="1" applyBorder="1" applyAlignment="1">
      <alignment horizontal="center" vertical="top"/>
    </xf>
    <xf numFmtId="0" fontId="22" fillId="0" borderId="0" xfId="0" applyFont="1" applyFill="1"/>
    <xf numFmtId="172" fontId="11" fillId="0" borderId="1" xfId="0" applyNumberFormat="1" applyFont="1" applyFill="1" applyBorder="1" applyAlignment="1">
      <alignment horizontal="right" vertical="top"/>
    </xf>
    <xf numFmtId="0" fontId="11" fillId="0" borderId="0" xfId="0" applyFont="1" applyFill="1"/>
    <xf numFmtId="0" fontId="16" fillId="0" borderId="0" xfId="0" applyFont="1" applyFill="1"/>
    <xf numFmtId="172" fontId="13" fillId="0" borderId="1" xfId="0" applyNumberFormat="1" applyFont="1" applyFill="1" applyBorder="1" applyAlignment="1">
      <alignment horizontal="right" vertical="top"/>
    </xf>
    <xf numFmtId="0" fontId="13" fillId="0" borderId="0" xfId="0" applyFont="1" applyFill="1"/>
    <xf numFmtId="172" fontId="19" fillId="0" borderId="1" xfId="0" applyNumberFormat="1" applyFont="1" applyFill="1" applyBorder="1" applyAlignment="1">
      <alignment horizontal="right" vertical="top"/>
    </xf>
    <xf numFmtId="172" fontId="7" fillId="0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172" fontId="8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72" fontId="8" fillId="0" borderId="0" xfId="0" applyNumberFormat="1" applyFont="1" applyFill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24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49" fontId="9" fillId="0" borderId="4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left" vertical="top"/>
    </xf>
    <xf numFmtId="49" fontId="11" fillId="0" borderId="1" xfId="0" applyNumberFormat="1" applyFont="1" applyBorder="1" applyAlignment="1">
      <alignment horizontal="left" wrapText="1"/>
    </xf>
    <xf numFmtId="172" fontId="11" fillId="0" borderId="5" xfId="0" applyNumberFormat="1" applyFont="1" applyFill="1" applyBorder="1" applyAlignment="1">
      <alignment horizontal="center" vertical="top"/>
    </xf>
    <xf numFmtId="49" fontId="11" fillId="0" borderId="5" xfId="0" applyNumberFormat="1" applyFont="1" applyFill="1" applyBorder="1" applyAlignment="1">
      <alignment horizontal="center" vertical="top"/>
    </xf>
    <xf numFmtId="4" fontId="11" fillId="0" borderId="5" xfId="0" applyNumberFormat="1" applyFont="1" applyFill="1" applyBorder="1" applyAlignment="1">
      <alignment horizontal="center" vertical="top"/>
    </xf>
    <xf numFmtId="0" fontId="25" fillId="0" borderId="3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justify"/>
    </xf>
    <xf numFmtId="0" fontId="6" fillId="2" borderId="1" xfId="0" applyFont="1" applyFill="1" applyBorder="1" applyAlignment="1">
      <alignment horizontal="justify" wrapText="1"/>
    </xf>
    <xf numFmtId="49" fontId="13" fillId="0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justify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6" fillId="2" borderId="1" xfId="0" applyFont="1" applyFill="1" applyBorder="1" applyAlignment="1">
      <alignment horizontal="justify" wrapText="1"/>
    </xf>
    <xf numFmtId="49" fontId="17" fillId="0" borderId="1" xfId="0" applyNumberFormat="1" applyFont="1" applyFill="1" applyBorder="1" applyAlignment="1">
      <alignment horizontal="center" vertical="top"/>
    </xf>
    <xf numFmtId="4" fontId="17" fillId="0" borderId="1" xfId="0" applyNumberFormat="1" applyFont="1" applyFill="1" applyBorder="1" applyAlignment="1">
      <alignment horizontal="right" vertical="top"/>
    </xf>
    <xf numFmtId="49" fontId="8" fillId="0" borderId="2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" fontId="7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172" fontId="2" fillId="0" borderId="7" xfId="0" applyNumberFormat="1" applyFont="1" applyBorder="1" applyAlignment="1">
      <alignment horizontal="center" vertical="top" wrapText="1"/>
    </xf>
    <xf numFmtId="172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8"/>
  <sheetViews>
    <sheetView view="pageBreakPreview" topLeftCell="A12" zoomScaleNormal="100" zoomScaleSheetLayoutView="100" workbookViewId="0">
      <pane xSplit="2" ySplit="2" topLeftCell="C153" activePane="bottomRight" state="frozen"/>
      <selection activeCell="A12" sqref="A12"/>
      <selection pane="topRight" activeCell="C12" sqref="C12"/>
      <selection pane="bottomLeft" activeCell="A14" sqref="A14"/>
      <selection pane="bottomRight" activeCell="D164" sqref="D164"/>
    </sheetView>
  </sheetViews>
  <sheetFormatPr defaultRowHeight="12"/>
  <cols>
    <col min="1" max="1" width="42.5703125" style="59" customWidth="1"/>
    <col min="2" max="2" width="4.7109375" style="109" customWidth="1"/>
    <col min="3" max="3" width="20.140625" style="60" customWidth="1"/>
    <col min="4" max="4" width="15.7109375" style="61" customWidth="1"/>
    <col min="5" max="5" width="12.7109375" style="61" customWidth="1"/>
    <col min="6" max="6" width="14" style="61" customWidth="1"/>
    <col min="7" max="8" width="9.140625" style="61" customWidth="1"/>
    <col min="9" max="9" width="14" style="61" customWidth="1"/>
    <col min="10" max="11" width="12.7109375" style="61" customWidth="1"/>
    <col min="12" max="16384" width="9.140625" style="91"/>
  </cols>
  <sheetData>
    <row r="1" spans="1:11" s="23" customFormat="1" ht="30" hidden="1" customHeight="1">
      <c r="C1" s="23" t="s">
        <v>0</v>
      </c>
    </row>
    <row r="2" spans="1:11" s="23" customFormat="1" hidden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23" customFormat="1" hidden="1">
      <c r="A3" s="24"/>
      <c r="B3" s="24"/>
      <c r="C3" s="24" t="s">
        <v>1</v>
      </c>
      <c r="D3" s="24"/>
      <c r="E3" s="24"/>
      <c r="F3" s="24"/>
      <c r="G3" s="24"/>
      <c r="H3" s="24"/>
      <c r="I3" s="24"/>
      <c r="J3" s="24"/>
      <c r="K3" s="24"/>
    </row>
    <row r="4" spans="1:11" s="23" customFormat="1" hidden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s="23" customFormat="1" hidden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s="23" customFormat="1" hidden="1">
      <c r="A6" s="24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s="23" customFormat="1" hidden="1">
      <c r="A7" s="24" t="s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s="23" customFormat="1">
      <c r="A8" s="24"/>
      <c r="B8" s="24"/>
      <c r="C8" s="24"/>
      <c r="D8" s="24"/>
      <c r="E8" s="24"/>
      <c r="F8" s="24"/>
      <c r="G8" s="24"/>
      <c r="H8" s="24"/>
      <c r="I8" s="24"/>
      <c r="J8" s="24"/>
      <c r="K8" s="25" t="s">
        <v>310</v>
      </c>
    </row>
    <row r="9" spans="1:11" s="23" customFormat="1">
      <c r="A9" s="24"/>
      <c r="B9" s="24"/>
      <c r="C9" s="24" t="s">
        <v>7</v>
      </c>
      <c r="D9" s="24"/>
      <c r="E9" s="24"/>
      <c r="F9" s="24"/>
      <c r="G9" s="24"/>
      <c r="H9" s="24"/>
      <c r="I9" s="24"/>
      <c r="J9" s="24"/>
    </row>
    <row r="10" spans="1:11" s="89" customFormat="1">
      <c r="A10" s="26"/>
      <c r="B10" s="28"/>
      <c r="C10" s="27"/>
      <c r="D10" s="28"/>
      <c r="E10" s="28"/>
      <c r="F10" s="28"/>
      <c r="G10" s="28"/>
      <c r="H10" s="28"/>
      <c r="I10" s="28"/>
      <c r="J10" s="28"/>
      <c r="K10" s="28"/>
    </row>
    <row r="11" spans="1:11" s="89" customFormat="1">
      <c r="A11" s="26"/>
      <c r="B11" s="28"/>
      <c r="C11" s="27"/>
      <c r="D11" s="28"/>
      <c r="E11" s="28"/>
      <c r="F11" s="28"/>
      <c r="G11" s="28"/>
      <c r="H11" s="28"/>
      <c r="I11" s="28"/>
      <c r="J11" s="28"/>
      <c r="K11" s="28"/>
    </row>
    <row r="12" spans="1:11" s="90" customFormat="1" ht="45" customHeight="1">
      <c r="A12" s="147" t="s">
        <v>4</v>
      </c>
      <c r="B12" s="146" t="s">
        <v>33</v>
      </c>
      <c r="C12" s="146" t="s">
        <v>8</v>
      </c>
      <c r="D12" s="146" t="s">
        <v>9</v>
      </c>
      <c r="E12" s="146" t="s">
        <v>10</v>
      </c>
      <c r="F12" s="146" t="s">
        <v>5</v>
      </c>
      <c r="G12" s="146"/>
      <c r="H12" s="146"/>
      <c r="I12" s="146"/>
      <c r="J12" s="146" t="s">
        <v>6</v>
      </c>
      <c r="K12" s="146"/>
    </row>
    <row r="13" spans="1:11" s="90" customFormat="1" ht="39" customHeight="1">
      <c r="A13" s="147"/>
      <c r="B13" s="146"/>
      <c r="C13" s="146"/>
      <c r="D13" s="146"/>
      <c r="E13" s="146"/>
      <c r="F13" s="145" t="s">
        <v>41</v>
      </c>
      <c r="G13" s="145" t="s">
        <v>306</v>
      </c>
      <c r="H13" s="145" t="s">
        <v>43</v>
      </c>
      <c r="I13" s="144" t="s">
        <v>44</v>
      </c>
      <c r="J13" s="29" t="s">
        <v>11</v>
      </c>
      <c r="K13" s="29" t="s">
        <v>12</v>
      </c>
    </row>
    <row r="14" spans="1:11" s="90" customFormat="1">
      <c r="A14" s="29">
        <v>1</v>
      </c>
      <c r="B14" s="29" t="s">
        <v>34</v>
      </c>
      <c r="C14" s="29">
        <v>3</v>
      </c>
      <c r="D14" s="29">
        <v>4</v>
      </c>
      <c r="E14" s="29">
        <v>5</v>
      </c>
      <c r="F14" s="29">
        <v>9</v>
      </c>
      <c r="G14" s="29">
        <v>7</v>
      </c>
      <c r="H14" s="29">
        <v>8</v>
      </c>
      <c r="I14" s="29">
        <v>9</v>
      </c>
      <c r="J14" s="29">
        <v>10</v>
      </c>
      <c r="K14" s="29">
        <v>11</v>
      </c>
    </row>
    <row r="15" spans="1:11" s="90" customFormat="1">
      <c r="A15" s="112" t="s">
        <v>137</v>
      </c>
      <c r="B15" s="29"/>
      <c r="C15" s="110" t="s">
        <v>182</v>
      </c>
      <c r="D15" s="125">
        <f>D16+D25+D87+D99</f>
        <v>4658302.6599999992</v>
      </c>
      <c r="E15" s="125">
        <f t="shared" ref="E15:K15" si="0">E16+E25+E87+E99</f>
        <v>4658302.6599999992</v>
      </c>
      <c r="F15" s="125">
        <f>F16+F25+F87+F99</f>
        <v>4369251.34</v>
      </c>
      <c r="G15" s="125">
        <f>G16+G25+G87+G99</f>
        <v>0</v>
      </c>
      <c r="H15" s="125">
        <f>H16+H25+H87+H99</f>
        <v>0</v>
      </c>
      <c r="I15" s="125">
        <f t="shared" si="0"/>
        <v>4369251.34</v>
      </c>
      <c r="J15" s="125">
        <f t="shared" si="0"/>
        <v>289051.31999999995</v>
      </c>
      <c r="K15" s="125">
        <f t="shared" si="0"/>
        <v>289051.31999999995</v>
      </c>
    </row>
    <row r="16" spans="1:11" s="111" customFormat="1" ht="36.75" customHeight="1">
      <c r="A16" s="112" t="s">
        <v>138</v>
      </c>
      <c r="B16" s="110"/>
      <c r="C16" s="110" t="s">
        <v>181</v>
      </c>
      <c r="D16" s="125">
        <f>D17</f>
        <v>635550.78</v>
      </c>
      <c r="E16" s="125">
        <f t="shared" ref="E16:K16" si="1">E17</f>
        <v>635550.78</v>
      </c>
      <c r="F16" s="125">
        <f t="shared" si="1"/>
        <v>635550.78</v>
      </c>
      <c r="G16" s="125">
        <f t="shared" si="1"/>
        <v>0</v>
      </c>
      <c r="H16" s="125">
        <f t="shared" si="1"/>
        <v>0</v>
      </c>
      <c r="I16" s="125">
        <f t="shared" si="1"/>
        <v>635550.78</v>
      </c>
      <c r="J16" s="125">
        <f t="shared" si="1"/>
        <v>0</v>
      </c>
      <c r="K16" s="125">
        <f t="shared" si="1"/>
        <v>0</v>
      </c>
    </row>
    <row r="17" spans="1:11" s="90" customFormat="1" ht="22.5" customHeight="1">
      <c r="A17" s="115" t="s">
        <v>154</v>
      </c>
      <c r="B17" s="29"/>
      <c r="C17" s="134" t="s">
        <v>274</v>
      </c>
      <c r="D17" s="126">
        <f t="shared" ref="D17:I17" si="2">D18+D22+D19</f>
        <v>635550.78</v>
      </c>
      <c r="E17" s="126">
        <f t="shared" si="2"/>
        <v>635550.78</v>
      </c>
      <c r="F17" s="126">
        <f>F18+F22+F19</f>
        <v>635550.78</v>
      </c>
      <c r="G17" s="126">
        <f>G18+G22+G19</f>
        <v>0</v>
      </c>
      <c r="H17" s="126">
        <f>H18+H22+H19</f>
        <v>0</v>
      </c>
      <c r="I17" s="126">
        <f t="shared" si="2"/>
        <v>635550.78</v>
      </c>
      <c r="J17" s="126">
        <f>J18+J22</f>
        <v>0</v>
      </c>
      <c r="K17" s="126">
        <f>K18+K22</f>
        <v>0</v>
      </c>
    </row>
    <row r="18" spans="1:11">
      <c r="A18" s="30" t="s">
        <v>24</v>
      </c>
      <c r="B18" s="88"/>
      <c r="C18" s="31" t="s">
        <v>186</v>
      </c>
      <c r="D18" s="87">
        <f>476519-5884-3897.22</f>
        <v>466737.78</v>
      </c>
      <c r="E18" s="87">
        <f>476519-5884-3897.22</f>
        <v>466737.78</v>
      </c>
      <c r="F18" s="32">
        <v>466737.78</v>
      </c>
      <c r="G18" s="32"/>
      <c r="H18" s="32"/>
      <c r="I18" s="32">
        <v>466737.78</v>
      </c>
      <c r="J18" s="32">
        <f>D18-I18</f>
        <v>0</v>
      </c>
      <c r="K18" s="32">
        <f>E18-I18</f>
        <v>0</v>
      </c>
    </row>
    <row r="19" spans="1:11" ht="22.5">
      <c r="A19" s="39" t="s">
        <v>26</v>
      </c>
      <c r="B19" s="88"/>
      <c r="C19" s="31" t="s">
        <v>299</v>
      </c>
      <c r="D19" s="32">
        <f>21383+10000-3527</f>
        <v>27856</v>
      </c>
      <c r="E19" s="32">
        <f>21383+10000-3527</f>
        <v>27856</v>
      </c>
      <c r="F19" s="32">
        <v>27856</v>
      </c>
      <c r="G19" s="32"/>
      <c r="H19" s="32"/>
      <c r="I19" s="32">
        <v>27856</v>
      </c>
      <c r="J19" s="32">
        <f>D19-I19</f>
        <v>0</v>
      </c>
      <c r="K19" s="32">
        <f>E19-I19</f>
        <v>0</v>
      </c>
    </row>
    <row r="20" spans="1:11">
      <c r="A20" s="41" t="s">
        <v>109</v>
      </c>
      <c r="B20" s="88"/>
      <c r="C20" s="31" t="s">
        <v>187</v>
      </c>
      <c r="D20" s="32">
        <f>104834-1294-857</f>
        <v>102683</v>
      </c>
      <c r="E20" s="32">
        <f>104834-1294-857</f>
        <v>102683</v>
      </c>
      <c r="F20" s="32">
        <v>102683</v>
      </c>
      <c r="G20" s="32"/>
      <c r="H20" s="32"/>
      <c r="I20" s="32">
        <v>102683</v>
      </c>
      <c r="J20" s="32">
        <f>D20-I20</f>
        <v>0</v>
      </c>
      <c r="K20" s="32">
        <f>E20-I20</f>
        <v>0</v>
      </c>
    </row>
    <row r="21" spans="1:11" ht="14.25" customHeight="1">
      <c r="A21" s="41" t="s">
        <v>110</v>
      </c>
      <c r="B21" s="88"/>
      <c r="C21" s="31" t="s">
        <v>188</v>
      </c>
      <c r="D21" s="32">
        <f>39075-482-319</f>
        <v>38274</v>
      </c>
      <c r="E21" s="32">
        <f>39075-482-319</f>
        <v>38274</v>
      </c>
      <c r="F21" s="32">
        <v>38274</v>
      </c>
      <c r="G21" s="32"/>
      <c r="H21" s="32"/>
      <c r="I21" s="32">
        <v>38274</v>
      </c>
      <c r="J21" s="32">
        <f>D21-I21</f>
        <v>0</v>
      </c>
      <c r="K21" s="32">
        <f>E21-I21</f>
        <v>0</v>
      </c>
    </row>
    <row r="22" spans="1:11" s="93" customFormat="1">
      <c r="A22" s="113" t="s">
        <v>155</v>
      </c>
      <c r="B22" s="92"/>
      <c r="C22" s="34"/>
      <c r="D22" s="78">
        <f t="shared" ref="D22:K22" si="3">SUM(D20:D21)</f>
        <v>140957</v>
      </c>
      <c r="E22" s="35">
        <f t="shared" si="3"/>
        <v>140957</v>
      </c>
      <c r="F22" s="35">
        <f>SUM(F20:F21)</f>
        <v>140957</v>
      </c>
      <c r="G22" s="35">
        <f t="shared" si="3"/>
        <v>0</v>
      </c>
      <c r="H22" s="35">
        <f t="shared" si="3"/>
        <v>0</v>
      </c>
      <c r="I22" s="35">
        <f t="shared" si="3"/>
        <v>140957</v>
      </c>
      <c r="J22" s="35">
        <f t="shared" si="3"/>
        <v>0</v>
      </c>
      <c r="K22" s="35">
        <f t="shared" si="3"/>
        <v>0</v>
      </c>
    </row>
    <row r="23" spans="1:11" s="93" customFormat="1">
      <c r="A23" s="33"/>
      <c r="B23" s="92"/>
      <c r="C23" s="34"/>
      <c r="D23" s="78"/>
      <c r="E23" s="35"/>
      <c r="F23" s="35"/>
      <c r="G23" s="35"/>
      <c r="H23" s="35"/>
      <c r="I23" s="35"/>
      <c r="J23" s="35"/>
      <c r="K23" s="35"/>
    </row>
    <row r="24" spans="1:11" s="93" customFormat="1" ht="42.75">
      <c r="A24" s="112" t="s">
        <v>139</v>
      </c>
      <c r="B24" s="92"/>
      <c r="C24" s="34" t="s">
        <v>180</v>
      </c>
      <c r="D24" s="35">
        <f>D25+D81+D85+D77</f>
        <v>4120404.8799999994</v>
      </c>
      <c r="E24" s="35">
        <f t="shared" ref="E24:K24" si="4">E25+E81+E85+E77</f>
        <v>4120404.8799999994</v>
      </c>
      <c r="F24" s="35">
        <f>F25+F81+F85+F77</f>
        <v>3831353.5599999996</v>
      </c>
      <c r="G24" s="35">
        <f t="shared" si="4"/>
        <v>0</v>
      </c>
      <c r="H24" s="35">
        <f t="shared" si="4"/>
        <v>0</v>
      </c>
      <c r="I24" s="35">
        <f t="shared" si="4"/>
        <v>3831353.5599999996</v>
      </c>
      <c r="J24" s="35">
        <f t="shared" si="4"/>
        <v>289051.31999999995</v>
      </c>
      <c r="K24" s="35">
        <f t="shared" si="4"/>
        <v>289051.31999999995</v>
      </c>
    </row>
    <row r="25" spans="1:11" s="94" customFormat="1" ht="24">
      <c r="A25" s="33" t="s">
        <v>273</v>
      </c>
      <c r="B25" s="44"/>
      <c r="C25" s="43" t="s">
        <v>272</v>
      </c>
      <c r="D25" s="38">
        <f>D46+D57+D58+D60+D69+D74+D71+D75</f>
        <v>4020504.8799999994</v>
      </c>
      <c r="E25" s="38">
        <f t="shared" ref="E25:K25" si="5">E46+E57+E58+E60+E69+E74+E71+E75</f>
        <v>4020504.8799999994</v>
      </c>
      <c r="F25" s="38">
        <f>F46+F57+F58+F60+F69+F74+F71+F75</f>
        <v>3731453.5599999996</v>
      </c>
      <c r="G25" s="38">
        <f t="shared" si="5"/>
        <v>0</v>
      </c>
      <c r="H25" s="38">
        <f t="shared" si="5"/>
        <v>0</v>
      </c>
      <c r="I25" s="38">
        <f t="shared" si="5"/>
        <v>3731453.5599999996</v>
      </c>
      <c r="J25" s="38">
        <f t="shared" si="5"/>
        <v>289051.31999999995</v>
      </c>
      <c r="K25" s="38">
        <f t="shared" si="5"/>
        <v>289051.31999999995</v>
      </c>
    </row>
    <row r="26" spans="1:11" hidden="1">
      <c r="A26" s="30" t="s">
        <v>24</v>
      </c>
      <c r="B26" s="88"/>
      <c r="C26" s="31" t="s">
        <v>121</v>
      </c>
      <c r="D26" s="32"/>
      <c r="E26" s="32"/>
      <c r="F26" s="32"/>
      <c r="G26" s="32"/>
      <c r="H26" s="32"/>
      <c r="I26" s="32"/>
      <c r="J26" s="32">
        <f>D26-I26</f>
        <v>0</v>
      </c>
      <c r="K26" s="32">
        <f>E26-I26</f>
        <v>0</v>
      </c>
    </row>
    <row r="27" spans="1:11" hidden="1">
      <c r="A27" s="41" t="s">
        <v>109</v>
      </c>
      <c r="B27" s="88"/>
      <c r="C27" s="31" t="s">
        <v>122</v>
      </c>
      <c r="D27" s="32"/>
      <c r="E27" s="32"/>
      <c r="F27" s="32"/>
      <c r="G27" s="32"/>
      <c r="H27" s="32"/>
      <c r="I27" s="32"/>
      <c r="J27" s="32">
        <f>D27-I27</f>
        <v>0</v>
      </c>
      <c r="K27" s="32">
        <f>E27-I27</f>
        <v>0</v>
      </c>
    </row>
    <row r="28" spans="1:11" ht="14.25" hidden="1" customHeight="1">
      <c r="A28" s="41" t="s">
        <v>110</v>
      </c>
      <c r="B28" s="88"/>
      <c r="C28" s="31" t="s">
        <v>123</v>
      </c>
      <c r="D28" s="32"/>
      <c r="E28" s="32"/>
      <c r="F28" s="32"/>
      <c r="G28" s="32"/>
      <c r="H28" s="32"/>
      <c r="I28" s="32"/>
      <c r="J28" s="32">
        <f>D28-I28</f>
        <v>0</v>
      </c>
      <c r="K28" s="32">
        <f>E28-I28</f>
        <v>0</v>
      </c>
    </row>
    <row r="29" spans="1:11" s="93" customFormat="1" hidden="1">
      <c r="A29" s="33" t="s">
        <v>87</v>
      </c>
      <c r="B29" s="92"/>
      <c r="C29" s="34"/>
      <c r="D29" s="35">
        <f t="shared" ref="D29:K29" si="6">SUM(D27:D28)</f>
        <v>0</v>
      </c>
      <c r="E29" s="35">
        <f t="shared" si="6"/>
        <v>0</v>
      </c>
      <c r="F29" s="35">
        <f>SUM(F27:F28)</f>
        <v>0</v>
      </c>
      <c r="G29" s="35">
        <f t="shared" si="6"/>
        <v>0</v>
      </c>
      <c r="H29" s="35">
        <f t="shared" si="6"/>
        <v>0</v>
      </c>
      <c r="I29" s="35">
        <f t="shared" si="6"/>
        <v>0</v>
      </c>
      <c r="J29" s="35">
        <f t="shared" si="6"/>
        <v>0</v>
      </c>
      <c r="K29" s="35">
        <f t="shared" si="6"/>
        <v>0</v>
      </c>
    </row>
    <row r="30" spans="1:11" s="94" customFormat="1" hidden="1">
      <c r="A30" s="63" t="s">
        <v>124</v>
      </c>
      <c r="B30" s="44"/>
      <c r="C30" s="31"/>
      <c r="D30" s="38">
        <f>D26+D29</f>
        <v>0</v>
      </c>
      <c r="E30" s="38">
        <f t="shared" ref="E30:K30" si="7">E26+E29</f>
        <v>0</v>
      </c>
      <c r="F30" s="38">
        <f>F26+F29</f>
        <v>0</v>
      </c>
      <c r="G30" s="38">
        <f t="shared" si="7"/>
        <v>0</v>
      </c>
      <c r="H30" s="38">
        <f t="shared" si="7"/>
        <v>0</v>
      </c>
      <c r="I30" s="38">
        <f t="shared" si="7"/>
        <v>0</v>
      </c>
      <c r="J30" s="38">
        <f t="shared" si="7"/>
        <v>0</v>
      </c>
      <c r="K30" s="38">
        <f t="shared" si="7"/>
        <v>0</v>
      </c>
    </row>
    <row r="31" spans="1:11" s="94" customFormat="1" hidden="1">
      <c r="A31" s="63"/>
      <c r="B31" s="44"/>
      <c r="C31" s="31"/>
      <c r="D31" s="38"/>
      <c r="E31" s="38"/>
      <c r="F31" s="38"/>
      <c r="G31" s="38"/>
      <c r="H31" s="38"/>
      <c r="I31" s="38"/>
      <c r="J31" s="38"/>
      <c r="K31" s="38"/>
    </row>
    <row r="32" spans="1:11" s="94" customFormat="1" hidden="1">
      <c r="A32" s="63" t="s">
        <v>115</v>
      </c>
      <c r="B32" s="44"/>
      <c r="C32" s="31"/>
      <c r="D32" s="38"/>
      <c r="E32" s="38"/>
      <c r="F32" s="38"/>
      <c r="G32" s="38"/>
      <c r="H32" s="38"/>
      <c r="I32" s="38"/>
      <c r="J32" s="38"/>
      <c r="K32" s="38"/>
    </row>
    <row r="33" spans="1:11" hidden="1">
      <c r="A33" s="30" t="s">
        <v>24</v>
      </c>
      <c r="B33" s="88"/>
      <c r="C33" s="31" t="s">
        <v>95</v>
      </c>
      <c r="D33" s="32"/>
      <c r="E33" s="32"/>
      <c r="F33" s="32"/>
      <c r="G33" s="32"/>
      <c r="H33" s="32"/>
      <c r="I33" s="32"/>
      <c r="J33" s="32">
        <f>D33-I33</f>
        <v>0</v>
      </c>
      <c r="K33" s="32">
        <f>E33-I33</f>
        <v>0</v>
      </c>
    </row>
    <row r="34" spans="1:11" hidden="1">
      <c r="A34" s="41" t="s">
        <v>109</v>
      </c>
      <c r="B34" s="88"/>
      <c r="C34" s="31" t="s">
        <v>96</v>
      </c>
      <c r="D34" s="32"/>
      <c r="E34" s="32"/>
      <c r="F34" s="32"/>
      <c r="G34" s="32"/>
      <c r="H34" s="32"/>
      <c r="I34" s="32"/>
      <c r="J34" s="32">
        <f>D34-I34</f>
        <v>0</v>
      </c>
      <c r="K34" s="32">
        <f>E34-I34</f>
        <v>0</v>
      </c>
    </row>
    <row r="35" spans="1:11" ht="14.25" hidden="1" customHeight="1">
      <c r="A35" s="86" t="s">
        <v>110</v>
      </c>
      <c r="B35" s="88"/>
      <c r="C35" s="31" t="s">
        <v>97</v>
      </c>
      <c r="D35" s="32"/>
      <c r="E35" s="32"/>
      <c r="F35" s="32"/>
      <c r="G35" s="32"/>
      <c r="H35" s="32"/>
      <c r="I35" s="32"/>
      <c r="J35" s="32">
        <f>D35-I35</f>
        <v>0</v>
      </c>
      <c r="K35" s="32">
        <f>E35-I35</f>
        <v>0</v>
      </c>
    </row>
    <row r="36" spans="1:11" s="93" customFormat="1" hidden="1">
      <c r="A36" s="33" t="s">
        <v>87</v>
      </c>
      <c r="B36" s="92"/>
      <c r="C36" s="34"/>
      <c r="D36" s="35">
        <f t="shared" ref="D36:K36" si="8">SUM(D34:D35)</f>
        <v>0</v>
      </c>
      <c r="E36" s="35">
        <f t="shared" si="8"/>
        <v>0</v>
      </c>
      <c r="F36" s="35">
        <f>SUM(F34:F35)</f>
        <v>0</v>
      </c>
      <c r="G36" s="35">
        <f t="shared" si="8"/>
        <v>0</v>
      </c>
      <c r="H36" s="35">
        <f t="shared" si="8"/>
        <v>0</v>
      </c>
      <c r="I36" s="35">
        <f t="shared" si="8"/>
        <v>0</v>
      </c>
      <c r="J36" s="35">
        <f t="shared" si="8"/>
        <v>0</v>
      </c>
      <c r="K36" s="35">
        <f t="shared" si="8"/>
        <v>0</v>
      </c>
    </row>
    <row r="37" spans="1:11" s="94" customFormat="1" hidden="1">
      <c r="A37" s="63" t="s">
        <v>102</v>
      </c>
      <c r="B37" s="44"/>
      <c r="C37" s="37"/>
      <c r="D37" s="38">
        <f t="shared" ref="D37:K37" si="9">D33+D36</f>
        <v>0</v>
      </c>
      <c r="E37" s="38">
        <f t="shared" si="9"/>
        <v>0</v>
      </c>
      <c r="F37" s="38">
        <f>F33+F36</f>
        <v>0</v>
      </c>
      <c r="G37" s="38">
        <f t="shared" si="9"/>
        <v>0</v>
      </c>
      <c r="H37" s="38">
        <f t="shared" si="9"/>
        <v>0</v>
      </c>
      <c r="I37" s="38">
        <f t="shared" si="9"/>
        <v>0</v>
      </c>
      <c r="J37" s="38">
        <f t="shared" si="9"/>
        <v>0</v>
      </c>
      <c r="K37" s="38">
        <f t="shared" si="9"/>
        <v>0</v>
      </c>
    </row>
    <row r="38" spans="1:11" s="94" customFormat="1" hidden="1">
      <c r="A38" s="63"/>
      <c r="B38" s="44"/>
      <c r="C38" s="37"/>
      <c r="D38" s="38"/>
      <c r="E38" s="38"/>
      <c r="F38" s="38"/>
      <c r="G38" s="38"/>
      <c r="H38" s="38"/>
      <c r="I38" s="38"/>
      <c r="J38" s="38"/>
      <c r="K38" s="38"/>
    </row>
    <row r="39" spans="1:11" s="94" customFormat="1" hidden="1">
      <c r="A39" s="45" t="s">
        <v>107</v>
      </c>
      <c r="B39" s="44"/>
      <c r="C39" s="37"/>
      <c r="D39" s="38"/>
      <c r="E39" s="38"/>
      <c r="F39" s="38"/>
      <c r="G39" s="38"/>
      <c r="H39" s="38"/>
      <c r="I39" s="38"/>
      <c r="J39" s="38"/>
      <c r="K39" s="38"/>
    </row>
    <row r="40" spans="1:11" hidden="1">
      <c r="A40" s="30" t="s">
        <v>24</v>
      </c>
      <c r="B40" s="88"/>
      <c r="C40" s="31" t="s">
        <v>98</v>
      </c>
      <c r="D40" s="32">
        <f t="shared" ref="D40:I40" si="10">D18+D26+D33</f>
        <v>466737.78</v>
      </c>
      <c r="E40" s="32">
        <f t="shared" si="10"/>
        <v>466737.78</v>
      </c>
      <c r="F40" s="32">
        <f>F18+F26+F33</f>
        <v>466737.78</v>
      </c>
      <c r="G40" s="32">
        <f t="shared" si="10"/>
        <v>0</v>
      </c>
      <c r="H40" s="32">
        <f t="shared" si="10"/>
        <v>0</v>
      </c>
      <c r="I40" s="32">
        <f t="shared" si="10"/>
        <v>466737.78</v>
      </c>
      <c r="J40" s="32">
        <f>D40-I40</f>
        <v>0</v>
      </c>
      <c r="K40" s="32">
        <f>E40-I40</f>
        <v>0</v>
      </c>
    </row>
    <row r="41" spans="1:11" ht="22.5" hidden="1">
      <c r="A41" s="39" t="s">
        <v>26</v>
      </c>
      <c r="B41" s="88"/>
      <c r="C41" s="31" t="s">
        <v>99</v>
      </c>
      <c r="D41" s="32">
        <f t="shared" ref="D41:I41" si="11">D19</f>
        <v>27856</v>
      </c>
      <c r="E41" s="32">
        <f t="shared" si="11"/>
        <v>27856</v>
      </c>
      <c r="F41" s="32">
        <f>F19</f>
        <v>27856</v>
      </c>
      <c r="G41" s="32">
        <f t="shared" si="11"/>
        <v>0</v>
      </c>
      <c r="H41" s="32">
        <f t="shared" si="11"/>
        <v>0</v>
      </c>
      <c r="I41" s="32">
        <f t="shared" si="11"/>
        <v>27856</v>
      </c>
      <c r="J41" s="32">
        <f>D41-I41</f>
        <v>0</v>
      </c>
      <c r="K41" s="32">
        <f>E41-I41</f>
        <v>0</v>
      </c>
    </row>
    <row r="42" spans="1:11" hidden="1">
      <c r="A42" s="41" t="s">
        <v>109</v>
      </c>
      <c r="B42" s="88"/>
      <c r="C42" s="31" t="s">
        <v>100</v>
      </c>
      <c r="D42" s="32">
        <f t="shared" ref="D42:I43" si="12">D20+D27+D34</f>
        <v>102683</v>
      </c>
      <c r="E42" s="32">
        <f t="shared" si="12"/>
        <v>102683</v>
      </c>
      <c r="F42" s="32">
        <f>F20+F27+F34</f>
        <v>102683</v>
      </c>
      <c r="G42" s="32">
        <f t="shared" si="12"/>
        <v>0</v>
      </c>
      <c r="H42" s="32">
        <f t="shared" si="12"/>
        <v>0</v>
      </c>
      <c r="I42" s="32">
        <f t="shared" si="12"/>
        <v>102683</v>
      </c>
      <c r="J42" s="32">
        <f>D42-I42</f>
        <v>0</v>
      </c>
      <c r="K42" s="32">
        <f>E42-I42</f>
        <v>0</v>
      </c>
    </row>
    <row r="43" spans="1:11" ht="14.25" hidden="1" customHeight="1">
      <c r="A43" s="41" t="s">
        <v>110</v>
      </c>
      <c r="B43" s="88"/>
      <c r="C43" s="31" t="s">
        <v>101</v>
      </c>
      <c r="D43" s="32">
        <f t="shared" si="12"/>
        <v>38274</v>
      </c>
      <c r="E43" s="32">
        <f t="shared" si="12"/>
        <v>38274</v>
      </c>
      <c r="F43" s="32">
        <f>F21+F28+F35</f>
        <v>38274</v>
      </c>
      <c r="G43" s="32">
        <f t="shared" si="12"/>
        <v>0</v>
      </c>
      <c r="H43" s="32">
        <f t="shared" si="12"/>
        <v>0</v>
      </c>
      <c r="I43" s="32">
        <f t="shared" si="12"/>
        <v>38274</v>
      </c>
      <c r="J43" s="32">
        <f>D43-I43</f>
        <v>0</v>
      </c>
      <c r="K43" s="32">
        <f>E43-I43</f>
        <v>0</v>
      </c>
    </row>
    <row r="44" spans="1:11" s="93" customFormat="1" hidden="1">
      <c r="A44" s="33" t="s">
        <v>87</v>
      </c>
      <c r="B44" s="92"/>
      <c r="C44" s="34"/>
      <c r="D44" s="35">
        <f>SUM(D42:D43)</f>
        <v>140957</v>
      </c>
      <c r="E44" s="35">
        <f t="shared" ref="E44:K44" si="13">SUM(E42:E43)</f>
        <v>140957</v>
      </c>
      <c r="F44" s="35">
        <f>SUM(F42:F43)</f>
        <v>140957</v>
      </c>
      <c r="G44" s="35">
        <f t="shared" si="13"/>
        <v>0</v>
      </c>
      <c r="H44" s="35">
        <f t="shared" si="13"/>
        <v>0</v>
      </c>
      <c r="I44" s="35">
        <f t="shared" si="13"/>
        <v>140957</v>
      </c>
      <c r="J44" s="35">
        <f t="shared" si="13"/>
        <v>0</v>
      </c>
      <c r="K44" s="35">
        <f t="shared" si="13"/>
        <v>0</v>
      </c>
    </row>
    <row r="45" spans="1:11" s="94" customFormat="1" hidden="1">
      <c r="A45" s="45" t="s">
        <v>106</v>
      </c>
      <c r="B45" s="44"/>
      <c r="C45" s="37"/>
      <c r="D45" s="38">
        <f>D40+D44+D41</f>
        <v>635550.78</v>
      </c>
      <c r="E45" s="38">
        <f t="shared" ref="E45:K45" si="14">E40+E44+E41</f>
        <v>635550.78</v>
      </c>
      <c r="F45" s="38">
        <f>F40+F44+F41</f>
        <v>635550.78</v>
      </c>
      <c r="G45" s="38">
        <f t="shared" si="14"/>
        <v>0</v>
      </c>
      <c r="H45" s="38">
        <f t="shared" si="14"/>
        <v>0</v>
      </c>
      <c r="I45" s="38">
        <f t="shared" si="14"/>
        <v>635550.78</v>
      </c>
      <c r="J45" s="38">
        <f t="shared" si="14"/>
        <v>0</v>
      </c>
      <c r="K45" s="38">
        <f t="shared" si="14"/>
        <v>0</v>
      </c>
    </row>
    <row r="46" spans="1:11" s="94" customFormat="1">
      <c r="A46" s="113" t="s">
        <v>154</v>
      </c>
      <c r="B46" s="44"/>
      <c r="C46" s="54" t="s">
        <v>312</v>
      </c>
      <c r="D46" s="38">
        <f>D49+D52+D55</f>
        <v>1841452.13</v>
      </c>
      <c r="E46" s="38">
        <f t="shared" ref="E46:K46" si="15">E49+E52+E55</f>
        <v>1841452.13</v>
      </c>
      <c r="F46" s="38">
        <f>F49+F52+F55</f>
        <v>1841452.13</v>
      </c>
      <c r="G46" s="38">
        <f t="shared" si="15"/>
        <v>0</v>
      </c>
      <c r="H46" s="38">
        <f t="shared" si="15"/>
        <v>0</v>
      </c>
      <c r="I46" s="38">
        <f t="shared" si="15"/>
        <v>1841452.13</v>
      </c>
      <c r="J46" s="38">
        <f t="shared" si="15"/>
        <v>0</v>
      </c>
      <c r="K46" s="38">
        <f t="shared" si="15"/>
        <v>0</v>
      </c>
    </row>
    <row r="47" spans="1:11">
      <c r="A47" s="30" t="s">
        <v>14</v>
      </c>
      <c r="B47" s="88"/>
      <c r="C47" s="31" t="s">
        <v>189</v>
      </c>
      <c r="D47" s="32">
        <f>775632-10540-8173.65</f>
        <v>756918.35</v>
      </c>
      <c r="E47" s="32">
        <f>775632-10540-8173.65</f>
        <v>756918.35</v>
      </c>
      <c r="F47" s="32">
        <v>756918.35</v>
      </c>
      <c r="G47" s="32"/>
      <c r="H47" s="32"/>
      <c r="I47" s="32">
        <v>756918.35</v>
      </c>
      <c r="J47" s="32">
        <f>D47-I47</f>
        <v>0</v>
      </c>
      <c r="K47" s="32">
        <f>E47-I47</f>
        <v>0</v>
      </c>
    </row>
    <row r="48" spans="1:11">
      <c r="A48" s="30" t="s">
        <v>25</v>
      </c>
      <c r="B48" s="88"/>
      <c r="C48" s="31" t="s">
        <v>190</v>
      </c>
      <c r="D48" s="32">
        <f>788186-285-25853-93343.1-55615.52</f>
        <v>613089.38</v>
      </c>
      <c r="E48" s="32">
        <f>788186-285-25853-93343.1-55615.52</f>
        <v>613089.38</v>
      </c>
      <c r="F48" s="32">
        <v>613089.38</v>
      </c>
      <c r="G48" s="32"/>
      <c r="H48" s="32"/>
      <c r="I48" s="32">
        <v>613089.38</v>
      </c>
      <c r="J48" s="32">
        <f>D48-I48</f>
        <v>0</v>
      </c>
      <c r="K48" s="32">
        <f>E48-I48</f>
        <v>0</v>
      </c>
    </row>
    <row r="49" spans="1:11" s="93" customFormat="1">
      <c r="A49" s="33" t="s">
        <v>88</v>
      </c>
      <c r="B49" s="92"/>
      <c r="C49" s="34"/>
      <c r="D49" s="35">
        <f t="shared" ref="D49:K49" si="16">SUM(D47:D48)</f>
        <v>1370007.73</v>
      </c>
      <c r="E49" s="35">
        <f t="shared" si="16"/>
        <v>1370007.73</v>
      </c>
      <c r="F49" s="35">
        <f>SUM(F47:F48)</f>
        <v>1370007.73</v>
      </c>
      <c r="G49" s="35">
        <f t="shared" si="16"/>
        <v>0</v>
      </c>
      <c r="H49" s="35">
        <f t="shared" si="16"/>
        <v>0</v>
      </c>
      <c r="I49" s="35">
        <f t="shared" si="16"/>
        <v>1370007.73</v>
      </c>
      <c r="J49" s="35">
        <f t="shared" si="16"/>
        <v>0</v>
      </c>
      <c r="K49" s="35">
        <f t="shared" si="16"/>
        <v>0</v>
      </c>
    </row>
    <row r="50" spans="1:11" ht="23.25" customHeight="1">
      <c r="A50" s="39" t="s">
        <v>26</v>
      </c>
      <c r="B50" s="88"/>
      <c r="C50" s="31" t="s">
        <v>191</v>
      </c>
      <c r="D50" s="32">
        <f>23108-11000+32393.1-12146.34</f>
        <v>32354.76</v>
      </c>
      <c r="E50" s="32">
        <f>23108-11000+32393.1-12146.34</f>
        <v>32354.76</v>
      </c>
      <c r="F50" s="32">
        <v>32354.76</v>
      </c>
      <c r="G50" s="32"/>
      <c r="H50" s="32"/>
      <c r="I50" s="32">
        <v>32354.76</v>
      </c>
      <c r="J50" s="32">
        <f>D50-I50</f>
        <v>0</v>
      </c>
      <c r="K50" s="32">
        <f>E50-I50</f>
        <v>0</v>
      </c>
    </row>
    <row r="51" spans="1:11" ht="22.5">
      <c r="A51" s="39" t="s">
        <v>27</v>
      </c>
      <c r="B51" s="88"/>
      <c r="C51" s="31" t="s">
        <v>192</v>
      </c>
      <c r="D51" s="32">
        <f>20000-500-1000</f>
        <v>18500</v>
      </c>
      <c r="E51" s="32">
        <f>20000-500-1000</f>
        <v>18500</v>
      </c>
      <c r="F51" s="32">
        <v>18500</v>
      </c>
      <c r="G51" s="32"/>
      <c r="H51" s="32"/>
      <c r="I51" s="32">
        <v>18500</v>
      </c>
      <c r="J51" s="32">
        <f>D51-I51</f>
        <v>0</v>
      </c>
      <c r="K51" s="32">
        <f>E51-I51</f>
        <v>0</v>
      </c>
    </row>
    <row r="52" spans="1:11" s="93" customFormat="1">
      <c r="A52" s="40" t="s">
        <v>156</v>
      </c>
      <c r="B52" s="92"/>
      <c r="C52" s="34"/>
      <c r="D52" s="35">
        <f t="shared" ref="D52:K52" si="17">SUM(D50:D51)</f>
        <v>50854.759999999995</v>
      </c>
      <c r="E52" s="35">
        <f t="shared" si="17"/>
        <v>50854.759999999995</v>
      </c>
      <c r="F52" s="35">
        <f>SUM(F50:F51)</f>
        <v>50854.759999999995</v>
      </c>
      <c r="G52" s="35">
        <f t="shared" si="17"/>
        <v>0</v>
      </c>
      <c r="H52" s="35">
        <f t="shared" si="17"/>
        <v>0</v>
      </c>
      <c r="I52" s="35">
        <f t="shared" si="17"/>
        <v>50854.759999999995</v>
      </c>
      <c r="J52" s="35">
        <f t="shared" si="17"/>
        <v>0</v>
      </c>
      <c r="K52" s="35">
        <f t="shared" si="17"/>
        <v>0</v>
      </c>
    </row>
    <row r="53" spans="1:11">
      <c r="A53" s="65" t="s">
        <v>109</v>
      </c>
      <c r="B53" s="88"/>
      <c r="C53" s="31" t="s">
        <v>193</v>
      </c>
      <c r="D53" s="32">
        <f>344040-2319-37119</f>
        <v>304602</v>
      </c>
      <c r="E53" s="32">
        <f>344040-2319-37119</f>
        <v>304602</v>
      </c>
      <c r="F53" s="32">
        <v>304602</v>
      </c>
      <c r="G53" s="32"/>
      <c r="H53" s="32"/>
      <c r="I53" s="32">
        <v>304602</v>
      </c>
      <c r="J53" s="32">
        <f>D53-I53</f>
        <v>0</v>
      </c>
      <c r="K53" s="32">
        <f>E53-I53</f>
        <v>0</v>
      </c>
    </row>
    <row r="54" spans="1:11">
      <c r="A54" s="65" t="s">
        <v>110</v>
      </c>
      <c r="B54" s="88"/>
      <c r="C54" s="31" t="s">
        <v>194</v>
      </c>
      <c r="D54" s="32">
        <f>128233-864-11381.36</f>
        <v>115987.64</v>
      </c>
      <c r="E54" s="32">
        <f>128233-864-11381.36</f>
        <v>115987.64</v>
      </c>
      <c r="F54" s="32">
        <v>115987.64</v>
      </c>
      <c r="G54" s="32"/>
      <c r="H54" s="32"/>
      <c r="I54" s="32">
        <v>115987.64</v>
      </c>
      <c r="J54" s="32">
        <f>D54-I54</f>
        <v>0</v>
      </c>
      <c r="K54" s="32">
        <f>E54-I54</f>
        <v>0</v>
      </c>
    </row>
    <row r="55" spans="1:11" s="93" customFormat="1">
      <c r="A55" s="113" t="s">
        <v>155</v>
      </c>
      <c r="B55" s="92"/>
      <c r="C55" s="34"/>
      <c r="D55" s="35">
        <f t="shared" ref="D55:K55" si="18">SUM(D53:D54)</f>
        <v>420589.64</v>
      </c>
      <c r="E55" s="35">
        <f t="shared" si="18"/>
        <v>420589.64</v>
      </c>
      <c r="F55" s="35">
        <f>SUM(F53:F54)</f>
        <v>420589.64</v>
      </c>
      <c r="G55" s="35">
        <f t="shared" si="18"/>
        <v>0</v>
      </c>
      <c r="H55" s="35">
        <f t="shared" si="18"/>
        <v>0</v>
      </c>
      <c r="I55" s="35">
        <f t="shared" si="18"/>
        <v>420589.64</v>
      </c>
      <c r="J55" s="35">
        <f t="shared" si="18"/>
        <v>0</v>
      </c>
      <c r="K55" s="35">
        <f t="shared" si="18"/>
        <v>0</v>
      </c>
    </row>
    <row r="56" spans="1:11" s="93" customFormat="1">
      <c r="A56" s="113"/>
      <c r="B56" s="92"/>
      <c r="C56" s="34"/>
      <c r="D56" s="35"/>
      <c r="E56" s="35"/>
      <c r="F56" s="35"/>
      <c r="G56" s="35"/>
      <c r="H56" s="35"/>
      <c r="I56" s="35"/>
      <c r="J56" s="35"/>
      <c r="K56" s="35"/>
    </row>
    <row r="57" spans="1:11">
      <c r="A57" s="30" t="s">
        <v>16</v>
      </c>
      <c r="B57" s="88"/>
      <c r="C57" s="31" t="s">
        <v>195</v>
      </c>
      <c r="D57" s="32">
        <f>23607-2001-3371.3</f>
        <v>18234.7</v>
      </c>
      <c r="E57" s="32">
        <f>23607-2001-3371.3</f>
        <v>18234.7</v>
      </c>
      <c r="F57" s="32">
        <v>18234.7</v>
      </c>
      <c r="G57" s="32"/>
      <c r="H57" s="32"/>
      <c r="I57" s="32">
        <v>18234.7</v>
      </c>
      <c r="J57" s="32">
        <f>D57-I57</f>
        <v>0</v>
      </c>
      <c r="K57" s="32">
        <f>E57-I57</f>
        <v>0</v>
      </c>
    </row>
    <row r="58" spans="1:11">
      <c r="A58" s="30" t="s">
        <v>19</v>
      </c>
      <c r="B58" s="88"/>
      <c r="C58" s="31" t="s">
        <v>254</v>
      </c>
      <c r="D58" s="32">
        <f>1155+15650-1495-3000</f>
        <v>12310</v>
      </c>
      <c r="E58" s="32">
        <f>1155+15650-1495-3000</f>
        <v>12310</v>
      </c>
      <c r="F58" s="32">
        <v>12310</v>
      </c>
      <c r="G58" s="32"/>
      <c r="H58" s="32"/>
      <c r="I58" s="32">
        <v>12310</v>
      </c>
      <c r="J58" s="32">
        <f>D58-I58</f>
        <v>0</v>
      </c>
      <c r="K58" s="32">
        <f>E58-I58</f>
        <v>0</v>
      </c>
    </row>
    <row r="59" spans="1:11">
      <c r="A59" s="30"/>
      <c r="B59" s="88"/>
      <c r="C59" s="116"/>
      <c r="D59" s="32"/>
      <c r="E59" s="32"/>
      <c r="F59" s="32"/>
      <c r="G59" s="32"/>
      <c r="H59" s="32"/>
      <c r="I59" s="32"/>
      <c r="J59" s="32"/>
      <c r="K59" s="32"/>
    </row>
    <row r="60" spans="1:11">
      <c r="A60" s="115" t="s">
        <v>146</v>
      </c>
      <c r="B60" s="88"/>
      <c r="C60" s="133" t="s">
        <v>163</v>
      </c>
      <c r="D60" s="32">
        <f t="shared" ref="D60:K60" si="19">D61+D62+D66+D67+D68</f>
        <v>1302125.9099999999</v>
      </c>
      <c r="E60" s="32">
        <f t="shared" si="19"/>
        <v>1302125.9099999999</v>
      </c>
      <c r="F60" s="32">
        <f t="shared" si="19"/>
        <v>1266992.1800000002</v>
      </c>
      <c r="G60" s="32">
        <f t="shared" si="19"/>
        <v>0</v>
      </c>
      <c r="H60" s="32">
        <f t="shared" si="19"/>
        <v>0</v>
      </c>
      <c r="I60" s="32">
        <f t="shared" si="19"/>
        <v>1266992.1800000002</v>
      </c>
      <c r="J60" s="32">
        <f t="shared" si="19"/>
        <v>35133.729999999989</v>
      </c>
      <c r="K60" s="32">
        <f t="shared" si="19"/>
        <v>35133.729999999989</v>
      </c>
    </row>
    <row r="61" spans="1:11">
      <c r="A61" s="30" t="s">
        <v>15</v>
      </c>
      <c r="B61" s="88"/>
      <c r="C61" s="31" t="s">
        <v>255</v>
      </c>
      <c r="D61" s="32">
        <f>31908+320+1545+11705</f>
        <v>45478</v>
      </c>
      <c r="E61" s="32">
        <f>31908+320+1545+11705</f>
        <v>45478</v>
      </c>
      <c r="F61" s="32">
        <f>1847.37+30379.82</f>
        <v>32227.19</v>
      </c>
      <c r="G61" s="32"/>
      <c r="H61" s="32"/>
      <c r="I61" s="32">
        <f>1847.37+30379.82</f>
        <v>32227.19</v>
      </c>
      <c r="J61" s="32">
        <f>D61-I61</f>
        <v>13250.810000000001</v>
      </c>
      <c r="K61" s="32">
        <f>E61-I61</f>
        <v>13250.810000000001</v>
      </c>
    </row>
    <row r="62" spans="1:11">
      <c r="A62" s="30" t="s">
        <v>16</v>
      </c>
      <c r="B62" s="88"/>
      <c r="C62" s="31" t="s">
        <v>196</v>
      </c>
      <c r="D62" s="32">
        <f>23378-1000+10912</f>
        <v>33290</v>
      </c>
      <c r="E62" s="32">
        <f>23378-1000+10912</f>
        <v>33290</v>
      </c>
      <c r="F62" s="32">
        <v>33290</v>
      </c>
      <c r="G62" s="32"/>
      <c r="H62" s="32"/>
      <c r="I62" s="32">
        <v>33290</v>
      </c>
      <c r="J62" s="32">
        <f>D62-I62</f>
        <v>0</v>
      </c>
      <c r="K62" s="32">
        <f>E62-I62</f>
        <v>0</v>
      </c>
    </row>
    <row r="63" spans="1:11">
      <c r="A63" s="30" t="s">
        <v>31</v>
      </c>
      <c r="B63" s="88"/>
      <c r="C63" s="31" t="s">
        <v>197</v>
      </c>
      <c r="D63" s="32">
        <f>960077+137411-179944.33</f>
        <v>917543.67</v>
      </c>
      <c r="E63" s="32">
        <f>960077+137411-179944.33</f>
        <v>917543.67</v>
      </c>
      <c r="F63" s="32">
        <f>874000.9+43542.77</f>
        <v>917543.67</v>
      </c>
      <c r="G63" s="32"/>
      <c r="H63" s="32"/>
      <c r="I63" s="32">
        <f>874000.9+43542.77</f>
        <v>917543.67</v>
      </c>
      <c r="J63" s="32">
        <f>D63-I63</f>
        <v>0</v>
      </c>
      <c r="K63" s="32">
        <f>E63-I63</f>
        <v>0</v>
      </c>
    </row>
    <row r="64" spans="1:11">
      <c r="A64" s="30" t="s">
        <v>28</v>
      </c>
      <c r="B64" s="88"/>
      <c r="C64" s="31" t="s">
        <v>198</v>
      </c>
      <c r="D64" s="32">
        <f>99638+7721.37+5000-7721.37</f>
        <v>104638</v>
      </c>
      <c r="E64" s="32">
        <f>99638+7721.37+5000-7721.37</f>
        <v>104638</v>
      </c>
      <c r="F64" s="32">
        <v>98717.759999999995</v>
      </c>
      <c r="G64" s="32"/>
      <c r="H64" s="32"/>
      <c r="I64" s="32">
        <v>98717.759999999995</v>
      </c>
      <c r="J64" s="32">
        <f>D64-I64</f>
        <v>5920.2400000000052</v>
      </c>
      <c r="K64" s="32">
        <f>E64-I64</f>
        <v>5920.2400000000052</v>
      </c>
    </row>
    <row r="65" spans="1:11" ht="12.75" customHeight="1">
      <c r="A65" s="30" t="s">
        <v>29</v>
      </c>
      <c r="B65" s="88"/>
      <c r="C65" s="31" t="s">
        <v>199</v>
      </c>
      <c r="D65" s="32">
        <f>15313</f>
        <v>15313</v>
      </c>
      <c r="E65" s="32">
        <f>15313</f>
        <v>15313</v>
      </c>
      <c r="F65" s="32">
        <v>14127.85</v>
      </c>
      <c r="G65" s="32"/>
      <c r="H65" s="32"/>
      <c r="I65" s="32">
        <v>14127.85</v>
      </c>
      <c r="J65" s="32">
        <f>D65-I65</f>
        <v>1185.1499999999996</v>
      </c>
      <c r="K65" s="32">
        <f>E65-I65</f>
        <v>1185.1499999999996</v>
      </c>
    </row>
    <row r="66" spans="1:11" s="93" customFormat="1" ht="17.25" customHeight="1">
      <c r="A66" s="115" t="s">
        <v>17</v>
      </c>
      <c r="B66" s="92"/>
      <c r="C66" s="34"/>
      <c r="D66" s="35">
        <f>SUM(D63:D65)</f>
        <v>1037494.67</v>
      </c>
      <c r="E66" s="35">
        <f t="shared" ref="E66:K66" si="20">SUM(E63:E65)</f>
        <v>1037494.67</v>
      </c>
      <c r="F66" s="35">
        <f>SUM(F63:F65)</f>
        <v>1030389.28</v>
      </c>
      <c r="G66" s="35">
        <f t="shared" si="20"/>
        <v>0</v>
      </c>
      <c r="H66" s="35">
        <f t="shared" si="20"/>
        <v>0</v>
      </c>
      <c r="I66" s="35">
        <f t="shared" si="20"/>
        <v>1030389.28</v>
      </c>
      <c r="J66" s="35">
        <f t="shared" si="20"/>
        <v>7105.3900000000049</v>
      </c>
      <c r="K66" s="35">
        <f t="shared" si="20"/>
        <v>7105.3900000000049</v>
      </c>
    </row>
    <row r="67" spans="1:11">
      <c r="A67" s="30" t="s">
        <v>18</v>
      </c>
      <c r="B67" s="88"/>
      <c r="C67" s="31" t="s">
        <v>200</v>
      </c>
      <c r="D67" s="32">
        <f>56703+20000</f>
        <v>76703</v>
      </c>
      <c r="E67" s="32">
        <f>56703+20000</f>
        <v>76703</v>
      </c>
      <c r="F67" s="32">
        <v>73118.600000000006</v>
      </c>
      <c r="G67" s="32"/>
      <c r="H67" s="32"/>
      <c r="I67" s="32">
        <v>73118.600000000006</v>
      </c>
      <c r="J67" s="32">
        <f>D67-I67</f>
        <v>3584.3999999999942</v>
      </c>
      <c r="K67" s="32">
        <f>E67-I67</f>
        <v>3584.3999999999942</v>
      </c>
    </row>
    <row r="68" spans="1:11">
      <c r="A68" s="30" t="s">
        <v>19</v>
      </c>
      <c r="B68" s="88"/>
      <c r="C68" s="31" t="s">
        <v>256</v>
      </c>
      <c r="D68" s="32">
        <f>49978+25853+19999.9+15798-2468.66</f>
        <v>109160.23999999999</v>
      </c>
      <c r="E68" s="32">
        <f>49978+25853+19999.9+15798-2468.66</f>
        <v>109160.23999999999</v>
      </c>
      <c r="F68" s="32">
        <v>97967.11</v>
      </c>
      <c r="G68" s="32"/>
      <c r="H68" s="32"/>
      <c r="I68" s="32">
        <v>97967.11</v>
      </c>
      <c r="J68" s="32">
        <f>D68-I68</f>
        <v>11193.12999999999</v>
      </c>
      <c r="K68" s="32">
        <f>E68-I68</f>
        <v>11193.12999999999</v>
      </c>
    </row>
    <row r="69" spans="1:11">
      <c r="A69" s="30" t="s">
        <v>20</v>
      </c>
      <c r="B69" s="88"/>
      <c r="C69" s="31" t="s">
        <v>201</v>
      </c>
      <c r="D69" s="32">
        <f>7616-7337.5</f>
        <v>278.5</v>
      </c>
      <c r="E69" s="32">
        <f>7616-7337.5</f>
        <v>278.5</v>
      </c>
      <c r="F69" s="32">
        <v>278.5</v>
      </c>
      <c r="G69" s="32"/>
      <c r="H69" s="32"/>
      <c r="I69" s="32">
        <v>278.5</v>
      </c>
      <c r="J69" s="32">
        <f>D69-I69</f>
        <v>0</v>
      </c>
      <c r="K69" s="32">
        <f>E69-I69</f>
        <v>0</v>
      </c>
    </row>
    <row r="70" spans="1:11" hidden="1">
      <c r="A70" s="30"/>
      <c r="B70" s="88"/>
      <c r="C70" s="31"/>
      <c r="D70" s="32"/>
      <c r="E70" s="32"/>
      <c r="F70" s="32"/>
      <c r="G70" s="32"/>
      <c r="H70" s="32"/>
      <c r="I70" s="32"/>
      <c r="J70" s="32"/>
      <c r="K70" s="32"/>
    </row>
    <row r="71" spans="1:11">
      <c r="A71" s="30" t="s">
        <v>21</v>
      </c>
      <c r="B71" s="88"/>
      <c r="C71" s="31" t="s">
        <v>301</v>
      </c>
      <c r="D71" s="32">
        <v>689990</v>
      </c>
      <c r="E71" s="32">
        <v>689990</v>
      </c>
      <c r="F71" s="32">
        <v>468999</v>
      </c>
      <c r="G71" s="32"/>
      <c r="H71" s="32"/>
      <c r="I71" s="32">
        <v>468999</v>
      </c>
      <c r="J71" s="32">
        <f>D71-I71</f>
        <v>220991</v>
      </c>
      <c r="K71" s="32">
        <f>E71-I71</f>
        <v>220991</v>
      </c>
    </row>
    <row r="72" spans="1:11">
      <c r="A72" s="30" t="s">
        <v>30</v>
      </c>
      <c r="B72" s="88"/>
      <c r="C72" s="31" t="s">
        <v>202</v>
      </c>
      <c r="D72" s="32">
        <f>130604-901</f>
        <v>129703</v>
      </c>
      <c r="E72" s="32">
        <f>130604-901</f>
        <v>129703</v>
      </c>
      <c r="F72" s="32">
        <v>96777.02</v>
      </c>
      <c r="G72" s="32"/>
      <c r="H72" s="32"/>
      <c r="I72" s="32">
        <v>96777.02</v>
      </c>
      <c r="J72" s="32">
        <f>D72-I72</f>
        <v>32925.979999999996</v>
      </c>
      <c r="K72" s="32">
        <f>E72-I72</f>
        <v>32925.979999999996</v>
      </c>
    </row>
    <row r="73" spans="1:11" ht="25.5" customHeight="1">
      <c r="A73" s="41" t="s">
        <v>185</v>
      </c>
      <c r="B73" s="88"/>
      <c r="C73" s="31" t="s">
        <v>203</v>
      </c>
      <c r="D73" s="32">
        <f>9217+12729.61</f>
        <v>21946.61</v>
      </c>
      <c r="E73" s="32">
        <f>9217+12729.61</f>
        <v>21946.61</v>
      </c>
      <c r="F73" s="32">
        <v>21946</v>
      </c>
      <c r="G73" s="32"/>
      <c r="H73" s="32"/>
      <c r="I73" s="32">
        <v>21946</v>
      </c>
      <c r="J73" s="32">
        <f>D73-I73</f>
        <v>0.61000000000058208</v>
      </c>
      <c r="K73" s="32">
        <f>E73-I73</f>
        <v>0.61000000000058208</v>
      </c>
    </row>
    <row r="74" spans="1:11" s="93" customFormat="1" ht="12.75" customHeight="1">
      <c r="A74" s="113" t="s">
        <v>153</v>
      </c>
      <c r="B74" s="92"/>
      <c r="C74" s="34"/>
      <c r="D74" s="35">
        <f>SUM(D72:D73)</f>
        <v>151649.60999999999</v>
      </c>
      <c r="E74" s="35">
        <f t="shared" ref="E74:K74" si="21">SUM(E72:E73)</f>
        <v>151649.60999999999</v>
      </c>
      <c r="F74" s="35">
        <f>SUM(F72:F73)</f>
        <v>118723.02</v>
      </c>
      <c r="G74" s="35">
        <f t="shared" si="21"/>
        <v>0</v>
      </c>
      <c r="H74" s="35">
        <f t="shared" si="21"/>
        <v>0</v>
      </c>
      <c r="I74" s="35">
        <f t="shared" si="21"/>
        <v>118723.02</v>
      </c>
      <c r="J74" s="35">
        <f t="shared" si="21"/>
        <v>32926.589999999997</v>
      </c>
      <c r="K74" s="35">
        <f t="shared" si="21"/>
        <v>32926.589999999997</v>
      </c>
    </row>
    <row r="75" spans="1:11">
      <c r="A75" s="30" t="s">
        <v>20</v>
      </c>
      <c r="B75" s="88"/>
      <c r="C75" s="31" t="s">
        <v>204</v>
      </c>
      <c r="D75" s="32">
        <f>21916-17451.97</f>
        <v>4464.0299999999988</v>
      </c>
      <c r="E75" s="32">
        <f>21916-17451.97</f>
        <v>4464.0299999999988</v>
      </c>
      <c r="F75" s="32">
        <v>4464.03</v>
      </c>
      <c r="G75" s="32"/>
      <c r="H75" s="32"/>
      <c r="I75" s="32">
        <v>4464.03</v>
      </c>
      <c r="J75" s="32">
        <f>D75-I75</f>
        <v>0</v>
      </c>
      <c r="K75" s="32">
        <f>E75-I75</f>
        <v>0</v>
      </c>
    </row>
    <row r="76" spans="1:11">
      <c r="A76" s="30"/>
      <c r="B76" s="88"/>
      <c r="C76" s="31"/>
      <c r="D76" s="32"/>
      <c r="E76" s="32"/>
      <c r="F76" s="32"/>
      <c r="G76" s="32"/>
      <c r="H76" s="32"/>
      <c r="I76" s="32"/>
      <c r="J76" s="32"/>
      <c r="K76" s="32"/>
    </row>
    <row r="77" spans="1:11" ht="116.25" customHeight="1">
      <c r="A77" s="136" t="s">
        <v>293</v>
      </c>
      <c r="B77" s="88"/>
      <c r="C77" s="31"/>
      <c r="D77" s="32">
        <f t="shared" ref="D77:K77" si="22">D78+D79</f>
        <v>99900</v>
      </c>
      <c r="E77" s="32">
        <f t="shared" si="22"/>
        <v>99900</v>
      </c>
      <c r="F77" s="32">
        <f t="shared" si="22"/>
        <v>99900</v>
      </c>
      <c r="G77" s="32">
        <f t="shared" si="22"/>
        <v>0</v>
      </c>
      <c r="H77" s="32">
        <f t="shared" si="22"/>
        <v>0</v>
      </c>
      <c r="I77" s="32">
        <f t="shared" si="22"/>
        <v>99900</v>
      </c>
      <c r="J77" s="32">
        <f t="shared" si="22"/>
        <v>0</v>
      </c>
      <c r="K77" s="32">
        <f t="shared" si="22"/>
        <v>0</v>
      </c>
    </row>
    <row r="78" spans="1:11">
      <c r="A78" s="30" t="s">
        <v>19</v>
      </c>
      <c r="B78" s="88"/>
      <c r="C78" s="31" t="s">
        <v>291</v>
      </c>
      <c r="D78" s="32">
        <v>1000</v>
      </c>
      <c r="E78" s="32">
        <v>1000</v>
      </c>
      <c r="F78" s="32">
        <v>1000</v>
      </c>
      <c r="G78" s="32"/>
      <c r="H78" s="32"/>
      <c r="I78" s="32">
        <v>1000</v>
      </c>
      <c r="J78" s="32">
        <f>D78-I78</f>
        <v>0</v>
      </c>
      <c r="K78" s="32">
        <f>E78-I78</f>
        <v>0</v>
      </c>
    </row>
    <row r="79" spans="1:11">
      <c r="A79" s="30" t="s">
        <v>19</v>
      </c>
      <c r="B79" s="88"/>
      <c r="C79" s="31" t="s">
        <v>292</v>
      </c>
      <c r="D79" s="32">
        <v>98900</v>
      </c>
      <c r="E79" s="32">
        <v>98900</v>
      </c>
      <c r="F79" s="32">
        <v>98900</v>
      </c>
      <c r="G79" s="32"/>
      <c r="H79" s="32"/>
      <c r="I79" s="32">
        <v>98900</v>
      </c>
      <c r="J79" s="32">
        <f>D79-I79</f>
        <v>0</v>
      </c>
      <c r="K79" s="32">
        <f>E79-I79</f>
        <v>0</v>
      </c>
    </row>
    <row r="80" spans="1:11">
      <c r="A80" s="30"/>
      <c r="B80" s="88"/>
      <c r="C80" s="31"/>
      <c r="D80" s="32"/>
      <c r="E80" s="32"/>
      <c r="F80" s="32"/>
      <c r="G80" s="32"/>
      <c r="H80" s="32"/>
      <c r="I80" s="32"/>
      <c r="J80" s="32"/>
      <c r="K80" s="32"/>
    </row>
    <row r="81" spans="1:12" s="94" customFormat="1" ht="90">
      <c r="A81" s="127" t="s">
        <v>183</v>
      </c>
      <c r="B81" s="44"/>
      <c r="C81" s="37"/>
      <c r="D81" s="38">
        <f t="shared" ref="D81:K81" si="23">D82+D83</f>
        <v>0</v>
      </c>
      <c r="E81" s="38">
        <f t="shared" si="23"/>
        <v>0</v>
      </c>
      <c r="F81" s="38">
        <f t="shared" si="23"/>
        <v>0</v>
      </c>
      <c r="G81" s="38">
        <f t="shared" si="23"/>
        <v>0</v>
      </c>
      <c r="H81" s="38">
        <f t="shared" si="23"/>
        <v>0</v>
      </c>
      <c r="I81" s="38">
        <f t="shared" si="23"/>
        <v>0</v>
      </c>
      <c r="J81" s="38">
        <f t="shared" si="23"/>
        <v>0</v>
      </c>
      <c r="K81" s="38">
        <f t="shared" si="23"/>
        <v>0</v>
      </c>
    </row>
    <row r="82" spans="1:12">
      <c r="A82" s="30" t="s">
        <v>19</v>
      </c>
      <c r="B82" s="88"/>
      <c r="C82" s="31" t="s">
        <v>252</v>
      </c>
      <c r="D82" s="32">
        <f>1000-1000</f>
        <v>0</v>
      </c>
      <c r="E82" s="32">
        <f>1000-1000</f>
        <v>0</v>
      </c>
      <c r="F82" s="32">
        <v>0</v>
      </c>
      <c r="G82" s="32"/>
      <c r="H82" s="32"/>
      <c r="I82" s="32">
        <v>0</v>
      </c>
      <c r="J82" s="32">
        <f>D82-I82</f>
        <v>0</v>
      </c>
      <c r="K82" s="32">
        <f>E82-I82</f>
        <v>0</v>
      </c>
    </row>
    <row r="83" spans="1:12">
      <c r="A83" s="30" t="s">
        <v>19</v>
      </c>
      <c r="B83" s="88"/>
      <c r="C83" s="31" t="s">
        <v>253</v>
      </c>
      <c r="D83" s="32">
        <f>1000-1000</f>
        <v>0</v>
      </c>
      <c r="E83" s="32">
        <f>1000-1000</f>
        <v>0</v>
      </c>
      <c r="F83" s="32">
        <v>0</v>
      </c>
      <c r="G83" s="32"/>
      <c r="H83" s="32"/>
      <c r="I83" s="32">
        <v>0</v>
      </c>
      <c r="J83" s="32">
        <f>D83-I83</f>
        <v>0</v>
      </c>
      <c r="K83" s="32">
        <f>E83-I83</f>
        <v>0</v>
      </c>
    </row>
    <row r="84" spans="1:12" s="94" customFormat="1">
      <c r="A84" s="63"/>
      <c r="B84" s="44"/>
      <c r="C84" s="37"/>
      <c r="D84" s="38"/>
      <c r="E84" s="38"/>
      <c r="F84" s="38"/>
      <c r="G84" s="38"/>
      <c r="H84" s="38"/>
      <c r="I84" s="38"/>
      <c r="J84" s="38"/>
      <c r="K84" s="38"/>
    </row>
    <row r="85" spans="1:12" s="94" customFormat="1" ht="90">
      <c r="A85" s="128" t="s">
        <v>184</v>
      </c>
      <c r="B85" s="44"/>
      <c r="C85" s="37" t="s">
        <v>205</v>
      </c>
      <c r="D85" s="38">
        <v>0</v>
      </c>
      <c r="E85" s="38">
        <v>0</v>
      </c>
      <c r="F85" s="38"/>
      <c r="G85" s="38"/>
      <c r="H85" s="38"/>
      <c r="I85" s="38"/>
      <c r="J85" s="32">
        <f>D85-I85</f>
        <v>0</v>
      </c>
      <c r="K85" s="32">
        <f>E85-I85</f>
        <v>0</v>
      </c>
      <c r="L85" s="91"/>
    </row>
    <row r="86" spans="1:12" s="94" customFormat="1">
      <c r="A86" s="39"/>
      <c r="B86" s="44"/>
      <c r="C86" s="37"/>
      <c r="D86" s="38"/>
      <c r="E86" s="38"/>
      <c r="F86" s="38"/>
      <c r="G86" s="38"/>
      <c r="H86" s="38"/>
      <c r="I86" s="38"/>
      <c r="J86" s="32"/>
      <c r="K86" s="32"/>
      <c r="L86" s="91"/>
    </row>
    <row r="87" spans="1:12" s="94" customFormat="1">
      <c r="A87" s="122" t="s">
        <v>169</v>
      </c>
      <c r="B87" s="44"/>
      <c r="C87" s="43" t="s">
        <v>170</v>
      </c>
      <c r="D87" s="38">
        <f t="shared" ref="D87:K87" si="24">D97</f>
        <v>0</v>
      </c>
      <c r="E87" s="38">
        <f t="shared" si="24"/>
        <v>0</v>
      </c>
      <c r="F87" s="38">
        <f t="shared" si="24"/>
        <v>0</v>
      </c>
      <c r="G87" s="38">
        <f t="shared" si="24"/>
        <v>0</v>
      </c>
      <c r="H87" s="38">
        <f t="shared" si="24"/>
        <v>0</v>
      </c>
      <c r="I87" s="38">
        <f t="shared" si="24"/>
        <v>0</v>
      </c>
      <c r="J87" s="38">
        <f t="shared" si="24"/>
        <v>0</v>
      </c>
      <c r="K87" s="38">
        <f t="shared" si="24"/>
        <v>0</v>
      </c>
      <c r="L87" s="91"/>
    </row>
    <row r="88" spans="1:12" s="94" customFormat="1" hidden="1">
      <c r="A88" s="30" t="s">
        <v>19</v>
      </c>
      <c r="B88" s="44"/>
      <c r="C88" s="31" t="s">
        <v>116</v>
      </c>
      <c r="D88" s="32"/>
      <c r="E88" s="32"/>
      <c r="F88" s="32"/>
      <c r="G88" s="38"/>
      <c r="H88" s="38"/>
      <c r="I88" s="32"/>
      <c r="J88" s="32">
        <f>D88-I88</f>
        <v>0</v>
      </c>
      <c r="K88" s="32">
        <f>E88-I88</f>
        <v>0</v>
      </c>
      <c r="L88" s="91"/>
    </row>
    <row r="89" spans="1:12" s="94" customFormat="1" hidden="1">
      <c r="A89" s="30" t="s">
        <v>19</v>
      </c>
      <c r="B89" s="44"/>
      <c r="C89" s="31" t="s">
        <v>117</v>
      </c>
      <c r="D89" s="32"/>
      <c r="E89" s="32"/>
      <c r="F89" s="32"/>
      <c r="G89" s="38"/>
      <c r="H89" s="38"/>
      <c r="I89" s="32"/>
      <c r="J89" s="32">
        <f>D89-I89</f>
        <v>0</v>
      </c>
      <c r="K89" s="32">
        <f>E89-I89</f>
        <v>0</v>
      </c>
      <c r="L89" s="91"/>
    </row>
    <row r="90" spans="1:12" s="94" customFormat="1" hidden="1">
      <c r="A90" s="30"/>
      <c r="B90" s="44"/>
      <c r="C90" s="37"/>
      <c r="D90" s="38">
        <f t="shared" ref="D90:K90" si="25">SUM(D88:D89)</f>
        <v>0</v>
      </c>
      <c r="E90" s="38">
        <f t="shared" si="25"/>
        <v>0</v>
      </c>
      <c r="F90" s="38">
        <f t="shared" si="25"/>
        <v>0</v>
      </c>
      <c r="G90" s="38">
        <f t="shared" si="25"/>
        <v>0</v>
      </c>
      <c r="H90" s="38">
        <f t="shared" si="25"/>
        <v>0</v>
      </c>
      <c r="I90" s="38">
        <f t="shared" si="25"/>
        <v>0</v>
      </c>
      <c r="J90" s="38">
        <f t="shared" si="25"/>
        <v>0</v>
      </c>
      <c r="K90" s="38">
        <f t="shared" si="25"/>
        <v>0</v>
      </c>
      <c r="L90" s="91"/>
    </row>
    <row r="91" spans="1:12" s="94" customFormat="1" hidden="1">
      <c r="A91" s="36"/>
      <c r="B91" s="44"/>
      <c r="C91" s="37"/>
      <c r="D91" s="38"/>
      <c r="E91" s="38"/>
      <c r="F91" s="38"/>
      <c r="G91" s="38"/>
      <c r="H91" s="38"/>
      <c r="I91" s="38"/>
      <c r="J91" s="32"/>
      <c r="K91" s="32"/>
      <c r="L91" s="91"/>
    </row>
    <row r="92" spans="1:12" hidden="1">
      <c r="A92" s="30" t="s">
        <v>24</v>
      </c>
      <c r="B92" s="88"/>
      <c r="C92" s="31" t="s">
        <v>103</v>
      </c>
      <c r="D92" s="32"/>
      <c r="E92" s="32"/>
      <c r="F92" s="32"/>
      <c r="G92" s="32"/>
      <c r="H92" s="32"/>
      <c r="I92" s="32"/>
      <c r="J92" s="32">
        <f>D92-I92</f>
        <v>0</v>
      </c>
      <c r="K92" s="32">
        <f>E92-I92</f>
        <v>0</v>
      </c>
    </row>
    <row r="93" spans="1:12" hidden="1">
      <c r="A93" s="65" t="s">
        <v>109</v>
      </c>
      <c r="B93" s="88"/>
      <c r="C93" s="31" t="s">
        <v>104</v>
      </c>
      <c r="D93" s="32"/>
      <c r="E93" s="32"/>
      <c r="F93" s="32"/>
      <c r="G93" s="32"/>
      <c r="H93" s="32"/>
      <c r="I93" s="32"/>
      <c r="J93" s="32">
        <f>D93-I93</f>
        <v>0</v>
      </c>
      <c r="K93" s="32">
        <f>E93-I93</f>
        <v>0</v>
      </c>
    </row>
    <row r="94" spans="1:12" ht="14.25" hidden="1" customHeight="1">
      <c r="A94" s="65" t="s">
        <v>110</v>
      </c>
      <c r="B94" s="88"/>
      <c r="C94" s="31" t="s">
        <v>105</v>
      </c>
      <c r="D94" s="32"/>
      <c r="E94" s="32"/>
      <c r="F94" s="32"/>
      <c r="G94" s="32"/>
      <c r="H94" s="32"/>
      <c r="I94" s="32"/>
      <c r="J94" s="32">
        <f>D94-I94</f>
        <v>0</v>
      </c>
      <c r="K94" s="32">
        <f>E94-I94</f>
        <v>0</v>
      </c>
    </row>
    <row r="95" spans="1:12" s="93" customFormat="1" hidden="1">
      <c r="A95" s="33" t="s">
        <v>87</v>
      </c>
      <c r="B95" s="92"/>
      <c r="C95" s="34"/>
      <c r="D95" s="35">
        <f t="shared" ref="D95:K95" si="26">SUM(D93:D94)</f>
        <v>0</v>
      </c>
      <c r="E95" s="35">
        <f>SUM(E93:E94)</f>
        <v>0</v>
      </c>
      <c r="F95" s="35">
        <f>SUM(F93:F94)</f>
        <v>0</v>
      </c>
      <c r="G95" s="35">
        <f t="shared" si="26"/>
        <v>0</v>
      </c>
      <c r="H95" s="35">
        <f t="shared" si="26"/>
        <v>0</v>
      </c>
      <c r="I95" s="35">
        <f t="shared" si="26"/>
        <v>0</v>
      </c>
      <c r="J95" s="35">
        <f t="shared" si="26"/>
        <v>0</v>
      </c>
      <c r="K95" s="35">
        <f t="shared" si="26"/>
        <v>0</v>
      </c>
      <c r="L95" s="95"/>
    </row>
    <row r="96" spans="1:12" s="94" customFormat="1" hidden="1">
      <c r="A96" s="63" t="s">
        <v>125</v>
      </c>
      <c r="B96" s="44"/>
      <c r="C96" s="37"/>
      <c r="D96" s="38">
        <f t="shared" ref="D96:K96" si="27">D92+D95</f>
        <v>0</v>
      </c>
      <c r="E96" s="38">
        <f>E92+E95</f>
        <v>0</v>
      </c>
      <c r="F96" s="38">
        <f>F92+F95</f>
        <v>0</v>
      </c>
      <c r="G96" s="38">
        <f t="shared" si="27"/>
        <v>0</v>
      </c>
      <c r="H96" s="38">
        <f t="shared" si="27"/>
        <v>0</v>
      </c>
      <c r="I96" s="38">
        <f t="shared" si="27"/>
        <v>0</v>
      </c>
      <c r="J96" s="38">
        <f t="shared" si="27"/>
        <v>0</v>
      </c>
      <c r="K96" s="38">
        <f t="shared" si="27"/>
        <v>0</v>
      </c>
      <c r="L96" s="91"/>
    </row>
    <row r="97" spans="1:11" s="94" customFormat="1">
      <c r="A97" s="64" t="s">
        <v>20</v>
      </c>
      <c r="B97" s="44"/>
      <c r="C97" s="37" t="s">
        <v>206</v>
      </c>
      <c r="D97" s="38">
        <f>5000-5000</f>
        <v>0</v>
      </c>
      <c r="E97" s="38">
        <f>5000-5000</f>
        <v>0</v>
      </c>
      <c r="F97" s="38">
        <v>0</v>
      </c>
      <c r="G97" s="38"/>
      <c r="H97" s="38"/>
      <c r="I97" s="38">
        <v>0</v>
      </c>
      <c r="J97" s="38">
        <f>D97-I97</f>
        <v>0</v>
      </c>
      <c r="K97" s="38">
        <f>E97-I97</f>
        <v>0</v>
      </c>
    </row>
    <row r="98" spans="1:11" s="94" customFormat="1">
      <c r="A98" s="64"/>
      <c r="B98" s="44"/>
      <c r="C98" s="37"/>
      <c r="D98" s="38"/>
      <c r="E98" s="38"/>
      <c r="F98" s="38"/>
      <c r="G98" s="38"/>
      <c r="H98" s="38"/>
      <c r="I98" s="38"/>
      <c r="J98" s="38"/>
      <c r="K98" s="38"/>
    </row>
    <row r="99" spans="1:11" s="94" customFormat="1">
      <c r="A99" s="112" t="s">
        <v>140</v>
      </c>
      <c r="B99" s="96"/>
      <c r="C99" s="43" t="s">
        <v>171</v>
      </c>
      <c r="D99" s="38">
        <f t="shared" ref="D99:K99" si="28">D101</f>
        <v>2247</v>
      </c>
      <c r="E99" s="38">
        <f t="shared" si="28"/>
        <v>2247</v>
      </c>
      <c r="F99" s="38">
        <f t="shared" si="28"/>
        <v>2247</v>
      </c>
      <c r="G99" s="38">
        <f t="shared" si="28"/>
        <v>0</v>
      </c>
      <c r="H99" s="38">
        <f t="shared" si="28"/>
        <v>0</v>
      </c>
      <c r="I99" s="38">
        <f t="shared" si="28"/>
        <v>2247</v>
      </c>
      <c r="J99" s="38">
        <f t="shared" si="28"/>
        <v>0</v>
      </c>
      <c r="K99" s="38">
        <f t="shared" si="28"/>
        <v>0</v>
      </c>
    </row>
    <row r="100" spans="1:11" s="94" customFormat="1" hidden="1">
      <c r="A100" s="30" t="s">
        <v>21</v>
      </c>
      <c r="B100" s="96"/>
      <c r="C100" s="31" t="s">
        <v>129</v>
      </c>
      <c r="D100" s="32">
        <v>0</v>
      </c>
      <c r="E100" s="32">
        <v>0</v>
      </c>
      <c r="F100" s="32">
        <v>0</v>
      </c>
      <c r="G100" s="32"/>
      <c r="H100" s="32"/>
      <c r="I100" s="32">
        <v>0</v>
      </c>
      <c r="J100" s="32">
        <f>D100-I100</f>
        <v>0</v>
      </c>
      <c r="K100" s="32">
        <f>E100-I100</f>
        <v>0</v>
      </c>
    </row>
    <row r="101" spans="1:11" s="94" customFormat="1" ht="24">
      <c r="A101" s="41" t="s">
        <v>185</v>
      </c>
      <c r="B101" s="96"/>
      <c r="C101" s="31" t="s">
        <v>207</v>
      </c>
      <c r="D101" s="32">
        <f>2270-23</f>
        <v>2247</v>
      </c>
      <c r="E101" s="32">
        <f>2270-23</f>
        <v>2247</v>
      </c>
      <c r="F101" s="32">
        <v>2247</v>
      </c>
      <c r="G101" s="32"/>
      <c r="H101" s="32"/>
      <c r="I101" s="32">
        <v>2247</v>
      </c>
      <c r="J101" s="32">
        <f>D101-I101</f>
        <v>0</v>
      </c>
      <c r="K101" s="32">
        <f>E101-I101</f>
        <v>0</v>
      </c>
    </row>
    <row r="102" spans="1:11" s="94" customFormat="1">
      <c r="A102" s="45"/>
      <c r="B102" s="96"/>
      <c r="C102" s="37"/>
      <c r="D102" s="38"/>
      <c r="E102" s="38"/>
      <c r="F102" s="38"/>
      <c r="G102" s="38"/>
      <c r="H102" s="38"/>
      <c r="I102" s="38"/>
      <c r="J102" s="38"/>
      <c r="K102" s="38"/>
    </row>
    <row r="103" spans="1:11" s="94" customFormat="1">
      <c r="A103" s="112" t="s">
        <v>141</v>
      </c>
      <c r="B103" s="96"/>
      <c r="C103" s="43" t="s">
        <v>172</v>
      </c>
      <c r="D103" s="38">
        <f t="shared" ref="D103:I103" si="29">D104</f>
        <v>80100</v>
      </c>
      <c r="E103" s="38">
        <f t="shared" si="29"/>
        <v>80100</v>
      </c>
      <c r="F103" s="38">
        <f t="shared" si="29"/>
        <v>80100</v>
      </c>
      <c r="G103" s="38">
        <f t="shared" si="29"/>
        <v>0</v>
      </c>
      <c r="H103" s="38">
        <f t="shared" si="29"/>
        <v>0</v>
      </c>
      <c r="I103" s="38">
        <f t="shared" si="29"/>
        <v>80100</v>
      </c>
      <c r="J103" s="38">
        <f>J104</f>
        <v>0</v>
      </c>
      <c r="K103" s="38">
        <f>K104</f>
        <v>0</v>
      </c>
    </row>
    <row r="104" spans="1:11" s="94" customFormat="1">
      <c r="A104" s="112" t="s">
        <v>142</v>
      </c>
      <c r="B104" s="96"/>
      <c r="C104" s="43" t="s">
        <v>173</v>
      </c>
      <c r="D104" s="38">
        <f t="shared" ref="D104:I104" si="30">D105+D114+D116+D117+D123+D122</f>
        <v>80100</v>
      </c>
      <c r="E104" s="38">
        <f t="shared" si="30"/>
        <v>80100</v>
      </c>
      <c r="F104" s="38">
        <f>F105+F114+F116+F117+F123+F122</f>
        <v>80100</v>
      </c>
      <c r="G104" s="38">
        <f t="shared" si="30"/>
        <v>0</v>
      </c>
      <c r="H104" s="38">
        <f t="shared" si="30"/>
        <v>0</v>
      </c>
      <c r="I104" s="38">
        <f t="shared" si="30"/>
        <v>80100</v>
      </c>
      <c r="J104" s="38">
        <f>J105+J114+J116+J117+J123</f>
        <v>0</v>
      </c>
      <c r="K104" s="38">
        <f>K105+K114+K116+K117+K123</f>
        <v>0</v>
      </c>
    </row>
    <row r="105" spans="1:11" s="94" customFormat="1">
      <c r="A105" s="113" t="s">
        <v>154</v>
      </c>
      <c r="B105" s="96"/>
      <c r="C105" s="37"/>
      <c r="D105" s="38">
        <f t="shared" ref="D105:K105" si="31">D106+D108+D112</f>
        <v>52290.43</v>
      </c>
      <c r="E105" s="38">
        <f t="shared" si="31"/>
        <v>52290.43</v>
      </c>
      <c r="F105" s="38">
        <f t="shared" si="31"/>
        <v>52290.43</v>
      </c>
      <c r="G105" s="38">
        <f t="shared" si="31"/>
        <v>0</v>
      </c>
      <c r="H105" s="38">
        <f t="shared" si="31"/>
        <v>0</v>
      </c>
      <c r="I105" s="38">
        <f t="shared" si="31"/>
        <v>52290.43</v>
      </c>
      <c r="J105" s="38">
        <f t="shared" si="31"/>
        <v>0</v>
      </c>
      <c r="K105" s="38">
        <f t="shared" si="31"/>
        <v>0</v>
      </c>
    </row>
    <row r="106" spans="1:11">
      <c r="A106" s="30" t="s">
        <v>14</v>
      </c>
      <c r="B106" s="88"/>
      <c r="C106" s="31" t="s">
        <v>208</v>
      </c>
      <c r="D106" s="32">
        <f>44829-53.38-5574.19</f>
        <v>39201.43</v>
      </c>
      <c r="E106" s="32">
        <f>44829-53.38-5574.19</f>
        <v>39201.43</v>
      </c>
      <c r="F106" s="32">
        <f>29295.97+2889.96+432+851+5702.5+25+5</f>
        <v>39201.43</v>
      </c>
      <c r="G106" s="32"/>
      <c r="H106" s="32"/>
      <c r="I106" s="32">
        <f>29295.97+2889.96+432+851+5702.5+25+5</f>
        <v>39201.43</v>
      </c>
      <c r="J106" s="32">
        <f>D106-I106</f>
        <v>0</v>
      </c>
      <c r="K106" s="32">
        <f>E106-I106</f>
        <v>0</v>
      </c>
    </row>
    <row r="107" spans="1:11" ht="22.5" hidden="1">
      <c r="A107" s="39" t="s">
        <v>26</v>
      </c>
      <c r="B107" s="88"/>
      <c r="C107" s="31" t="s">
        <v>32</v>
      </c>
      <c r="D107" s="32"/>
      <c r="E107" s="32"/>
      <c r="F107" s="32"/>
      <c r="G107" s="32"/>
      <c r="H107" s="32"/>
      <c r="I107" s="32"/>
      <c r="J107" s="32">
        <f>D107-I107</f>
        <v>0</v>
      </c>
      <c r="K107" s="32">
        <f>E107-I107</f>
        <v>0</v>
      </c>
    </row>
    <row r="108" spans="1:11" ht="22.5">
      <c r="A108" s="39" t="s">
        <v>27</v>
      </c>
      <c r="B108" s="88"/>
      <c r="C108" s="31" t="s">
        <v>209</v>
      </c>
      <c r="D108" s="32">
        <f>2500-1250</f>
        <v>1250</v>
      </c>
      <c r="E108" s="32">
        <f>2500-1250</f>
        <v>1250</v>
      </c>
      <c r="F108" s="32">
        <f>500+750</f>
        <v>1250</v>
      </c>
      <c r="G108" s="32"/>
      <c r="H108" s="32"/>
      <c r="I108" s="32">
        <f>500+750</f>
        <v>1250</v>
      </c>
      <c r="J108" s="32">
        <f>D108-I108</f>
        <v>0</v>
      </c>
      <c r="K108" s="32">
        <f>E108-I108</f>
        <v>0</v>
      </c>
    </row>
    <row r="109" spans="1:11" s="93" customFormat="1" hidden="1">
      <c r="A109" s="40" t="s">
        <v>89</v>
      </c>
      <c r="B109" s="92"/>
      <c r="C109" s="34"/>
      <c r="D109" s="35">
        <f t="shared" ref="D109:K109" si="32">SUM(D107:D108)</f>
        <v>1250</v>
      </c>
      <c r="E109" s="35">
        <f>SUM(E107:E108)</f>
        <v>1250</v>
      </c>
      <c r="F109" s="35">
        <f>SUM(F107:F108)</f>
        <v>1250</v>
      </c>
      <c r="G109" s="35">
        <f t="shared" si="32"/>
        <v>0</v>
      </c>
      <c r="H109" s="35">
        <f t="shared" si="32"/>
        <v>0</v>
      </c>
      <c r="I109" s="35">
        <f t="shared" si="32"/>
        <v>1250</v>
      </c>
      <c r="J109" s="35">
        <f t="shared" si="32"/>
        <v>0</v>
      </c>
      <c r="K109" s="35">
        <f t="shared" si="32"/>
        <v>0</v>
      </c>
    </row>
    <row r="110" spans="1:11">
      <c r="A110" s="65" t="s">
        <v>109</v>
      </c>
      <c r="B110" s="88"/>
      <c r="C110" s="31" t="s">
        <v>210</v>
      </c>
      <c r="D110" s="32">
        <f>9860-1236</f>
        <v>8624</v>
      </c>
      <c r="E110" s="32">
        <f>9860-1236</f>
        <v>8624</v>
      </c>
      <c r="F110" s="32">
        <f>2172+724+2100+1449+731+1442+6</f>
        <v>8624</v>
      </c>
      <c r="G110" s="32"/>
      <c r="H110" s="32"/>
      <c r="I110" s="32">
        <f>2172+724+2100+1449+731+1442+6</f>
        <v>8624</v>
      </c>
      <c r="J110" s="32">
        <f>D110-I110</f>
        <v>0</v>
      </c>
      <c r="K110" s="32">
        <f>E110-I110</f>
        <v>0</v>
      </c>
    </row>
    <row r="111" spans="1:11">
      <c r="A111" s="65" t="s">
        <v>110</v>
      </c>
      <c r="B111" s="88"/>
      <c r="C111" s="31" t="s">
        <v>211</v>
      </c>
      <c r="D111" s="32">
        <f>3678-464+1</f>
        <v>3215</v>
      </c>
      <c r="E111" s="32">
        <f>3678-464+1</f>
        <v>3215</v>
      </c>
      <c r="F111" s="32">
        <f>2982-2172+168+7+95+19+276+487+13+335+193+96+169+7+190+12+335+2+1</f>
        <v>3215</v>
      </c>
      <c r="G111" s="32"/>
      <c r="H111" s="32"/>
      <c r="I111" s="32">
        <f>2982-2172+168+7+95+19+276+487+13+335+193+96+169+7+190+12+335+2+1</f>
        <v>3215</v>
      </c>
      <c r="J111" s="32">
        <f>D111-I111</f>
        <v>0</v>
      </c>
      <c r="K111" s="32">
        <f>E111-I111</f>
        <v>0</v>
      </c>
    </row>
    <row r="112" spans="1:11" s="93" customFormat="1">
      <c r="A112" s="113" t="s">
        <v>155</v>
      </c>
      <c r="B112" s="92"/>
      <c r="C112" s="34"/>
      <c r="D112" s="35">
        <f t="shared" ref="D112:K112" si="33">SUM(D110:D111)</f>
        <v>11839</v>
      </c>
      <c r="E112" s="35">
        <f>SUM(E110:E111)</f>
        <v>11839</v>
      </c>
      <c r="F112" s="35">
        <f>SUM(F110:F111)</f>
        <v>11839</v>
      </c>
      <c r="G112" s="35">
        <f t="shared" si="33"/>
        <v>0</v>
      </c>
      <c r="H112" s="35">
        <f t="shared" si="33"/>
        <v>0</v>
      </c>
      <c r="I112" s="35">
        <f t="shared" si="33"/>
        <v>11839</v>
      </c>
      <c r="J112" s="35">
        <f t="shared" si="33"/>
        <v>0</v>
      </c>
      <c r="K112" s="35">
        <f t="shared" si="33"/>
        <v>0</v>
      </c>
    </row>
    <row r="113" spans="1:11" s="93" customFormat="1">
      <c r="A113" s="114"/>
      <c r="B113" s="118"/>
      <c r="C113" s="119"/>
      <c r="D113" s="120"/>
      <c r="E113" s="120"/>
      <c r="F113" s="35"/>
      <c r="G113" s="35"/>
      <c r="H113" s="35"/>
      <c r="I113" s="35"/>
      <c r="J113" s="35"/>
      <c r="K113" s="35"/>
    </row>
    <row r="114" spans="1:11">
      <c r="A114" s="30" t="s">
        <v>19</v>
      </c>
      <c r="B114" s="88"/>
      <c r="C114" s="31" t="s">
        <v>257</v>
      </c>
      <c r="D114" s="32">
        <f>1650-412+142</f>
        <v>1380</v>
      </c>
      <c r="E114" s="32">
        <f>1650-412+142</f>
        <v>1380</v>
      </c>
      <c r="F114" s="32">
        <f>1040+340</f>
        <v>1380</v>
      </c>
      <c r="G114" s="32"/>
      <c r="H114" s="32"/>
      <c r="I114" s="32">
        <f>1040+340</f>
        <v>1380</v>
      </c>
      <c r="J114" s="32">
        <f>D114-I114</f>
        <v>0</v>
      </c>
      <c r="K114" s="32">
        <f>E114-I114</f>
        <v>0</v>
      </c>
    </row>
    <row r="115" spans="1:11" s="93" customFormat="1">
      <c r="A115" s="33"/>
      <c r="B115" s="92"/>
      <c r="C115" s="34"/>
      <c r="D115" s="35"/>
      <c r="E115" s="35"/>
      <c r="F115" s="35"/>
      <c r="G115" s="35"/>
      <c r="H115" s="35"/>
      <c r="I115" s="35"/>
      <c r="J115" s="35"/>
      <c r="K115" s="35"/>
    </row>
    <row r="116" spans="1:11">
      <c r="A116" s="30" t="s">
        <v>16</v>
      </c>
      <c r="B116" s="88"/>
      <c r="C116" s="31" t="s">
        <v>212</v>
      </c>
      <c r="D116" s="32">
        <f>3329-833-706.2</f>
        <v>1789.8</v>
      </c>
      <c r="E116" s="32">
        <f>3329-833-706.2</f>
        <v>1789.8</v>
      </c>
      <c r="F116" s="32">
        <f>832.2+957.6</f>
        <v>1789.8000000000002</v>
      </c>
      <c r="G116" s="32"/>
      <c r="H116" s="32"/>
      <c r="I116" s="32">
        <f>832.2+957.6</f>
        <v>1789.8000000000002</v>
      </c>
      <c r="J116" s="32">
        <f>D116-I116</f>
        <v>0</v>
      </c>
      <c r="K116" s="32">
        <f>E116-I116</f>
        <v>0</v>
      </c>
    </row>
    <row r="117" spans="1:11" s="99" customFormat="1">
      <c r="A117" s="117" t="s">
        <v>146</v>
      </c>
      <c r="B117" s="98"/>
      <c r="C117" s="46"/>
      <c r="D117" s="47">
        <f t="shared" ref="D117:K117" si="34">D118+D120</f>
        <v>2850</v>
      </c>
      <c r="E117" s="47">
        <f t="shared" si="34"/>
        <v>2850</v>
      </c>
      <c r="F117" s="47">
        <f t="shared" si="34"/>
        <v>2850</v>
      </c>
      <c r="G117" s="47">
        <f t="shared" si="34"/>
        <v>0</v>
      </c>
      <c r="H117" s="47">
        <f t="shared" si="34"/>
        <v>0</v>
      </c>
      <c r="I117" s="47">
        <f t="shared" si="34"/>
        <v>2850</v>
      </c>
      <c r="J117" s="47">
        <f t="shared" si="34"/>
        <v>0</v>
      </c>
      <c r="K117" s="47">
        <f t="shared" si="34"/>
        <v>0</v>
      </c>
    </row>
    <row r="118" spans="1:11">
      <c r="A118" s="30" t="s">
        <v>18</v>
      </c>
      <c r="B118" s="88"/>
      <c r="C118" s="31" t="s">
        <v>213</v>
      </c>
      <c r="D118" s="32">
        <f>1600+400</f>
        <v>2000</v>
      </c>
      <c r="E118" s="32">
        <f>1600+400</f>
        <v>2000</v>
      </c>
      <c r="F118" s="32">
        <v>2000</v>
      </c>
      <c r="G118" s="32"/>
      <c r="H118" s="32"/>
      <c r="I118" s="32">
        <v>2000</v>
      </c>
      <c r="J118" s="32">
        <f t="shared" ref="J118:J123" si="35">D118-I118</f>
        <v>0</v>
      </c>
      <c r="K118" s="32">
        <f t="shared" ref="K118:K123" si="36">E118-I118</f>
        <v>0</v>
      </c>
    </row>
    <row r="119" spans="1:11" hidden="1">
      <c r="A119" s="30" t="s">
        <v>19</v>
      </c>
      <c r="B119" s="88"/>
      <c r="C119" s="31" t="s">
        <v>130</v>
      </c>
      <c r="D119" s="32"/>
      <c r="E119" s="32"/>
      <c r="F119" s="32">
        <v>0</v>
      </c>
      <c r="G119" s="32"/>
      <c r="H119" s="32"/>
      <c r="I119" s="32">
        <v>0</v>
      </c>
      <c r="J119" s="32">
        <f t="shared" si="35"/>
        <v>0</v>
      </c>
      <c r="K119" s="32">
        <f t="shared" si="36"/>
        <v>0</v>
      </c>
    </row>
    <row r="120" spans="1:11">
      <c r="A120" s="30" t="s">
        <v>19</v>
      </c>
      <c r="B120" s="88"/>
      <c r="C120" s="31" t="s">
        <v>258</v>
      </c>
      <c r="D120" s="32">
        <v>850</v>
      </c>
      <c r="E120" s="32">
        <v>850</v>
      </c>
      <c r="F120" s="32">
        <v>850</v>
      </c>
      <c r="G120" s="32"/>
      <c r="H120" s="32"/>
      <c r="I120" s="32">
        <v>850</v>
      </c>
      <c r="J120" s="32">
        <f t="shared" si="35"/>
        <v>0</v>
      </c>
      <c r="K120" s="32">
        <f t="shared" si="36"/>
        <v>0</v>
      </c>
    </row>
    <row r="121" spans="1:11" hidden="1">
      <c r="A121" s="30" t="s">
        <v>21</v>
      </c>
      <c r="B121" s="88"/>
      <c r="C121" s="31" t="s">
        <v>131</v>
      </c>
      <c r="D121" s="32">
        <v>0</v>
      </c>
      <c r="E121" s="32">
        <v>0</v>
      </c>
      <c r="F121" s="32">
        <v>0</v>
      </c>
      <c r="G121" s="32"/>
      <c r="H121" s="32"/>
      <c r="I121" s="32">
        <v>0</v>
      </c>
      <c r="J121" s="32">
        <f t="shared" si="35"/>
        <v>0</v>
      </c>
      <c r="K121" s="32">
        <f t="shared" si="36"/>
        <v>0</v>
      </c>
    </row>
    <row r="122" spans="1:11">
      <c r="A122" s="53" t="s">
        <v>21</v>
      </c>
      <c r="B122" s="88"/>
      <c r="C122" s="31" t="s">
        <v>300</v>
      </c>
      <c r="D122" s="32">
        <f>3120+1200</f>
        <v>4320</v>
      </c>
      <c r="E122" s="32">
        <f>3120+1200</f>
        <v>4320</v>
      </c>
      <c r="F122" s="32">
        <f>1200+3120</f>
        <v>4320</v>
      </c>
      <c r="G122" s="32"/>
      <c r="H122" s="32"/>
      <c r="I122" s="32">
        <f>1200+3120</f>
        <v>4320</v>
      </c>
      <c r="J122" s="32">
        <f t="shared" si="35"/>
        <v>0</v>
      </c>
      <c r="K122" s="32">
        <f t="shared" si="36"/>
        <v>0</v>
      </c>
    </row>
    <row r="123" spans="1:11" ht="24">
      <c r="A123" s="41" t="s">
        <v>185</v>
      </c>
      <c r="B123" s="88"/>
      <c r="C123" s="31" t="s">
        <v>214</v>
      </c>
      <c r="D123" s="32">
        <f>9810+622.38+7038.39-1</f>
        <v>17469.77</v>
      </c>
      <c r="E123" s="32">
        <f>9810+622.38+7038.39-1</f>
        <v>17469.77</v>
      </c>
      <c r="F123" s="32">
        <f>3115+7317+7037.77</f>
        <v>17469.77</v>
      </c>
      <c r="G123" s="32"/>
      <c r="H123" s="32"/>
      <c r="I123" s="32">
        <f>3115+7317+7037.77</f>
        <v>17469.77</v>
      </c>
      <c r="J123" s="32">
        <f t="shared" si="35"/>
        <v>0</v>
      </c>
      <c r="K123" s="32">
        <f t="shared" si="36"/>
        <v>0</v>
      </c>
    </row>
    <row r="124" spans="1:11" s="94" customFormat="1">
      <c r="A124" s="36"/>
      <c r="B124" s="44"/>
      <c r="C124" s="37"/>
      <c r="D124" s="38"/>
      <c r="E124" s="38"/>
      <c r="F124" s="38"/>
      <c r="G124" s="38"/>
      <c r="H124" s="38"/>
      <c r="I124" s="38"/>
      <c r="J124" s="38"/>
      <c r="K124" s="38"/>
    </row>
    <row r="125" spans="1:11" s="94" customFormat="1" ht="21.75">
      <c r="A125" s="112" t="s">
        <v>144</v>
      </c>
      <c r="B125" s="44"/>
      <c r="C125" s="43" t="s">
        <v>174</v>
      </c>
      <c r="D125" s="38">
        <f>D126</f>
        <v>0</v>
      </c>
      <c r="E125" s="38">
        <f>E126</f>
        <v>0</v>
      </c>
      <c r="F125" s="38">
        <f t="shared" ref="F125:K125" si="37">F126</f>
        <v>0</v>
      </c>
      <c r="G125" s="38">
        <f t="shared" si="37"/>
        <v>0</v>
      </c>
      <c r="H125" s="38">
        <f t="shared" si="37"/>
        <v>0</v>
      </c>
      <c r="I125" s="38">
        <f t="shared" si="37"/>
        <v>0</v>
      </c>
      <c r="J125" s="38">
        <f t="shared" si="37"/>
        <v>0</v>
      </c>
      <c r="K125" s="38">
        <f t="shared" si="37"/>
        <v>0</v>
      </c>
    </row>
    <row r="126" spans="1:11" s="94" customFormat="1">
      <c r="A126" s="112" t="s">
        <v>145</v>
      </c>
      <c r="B126" s="44"/>
      <c r="C126" s="43" t="s">
        <v>127</v>
      </c>
      <c r="D126" s="38">
        <f t="shared" ref="D126:K126" si="38">D130+D131</f>
        <v>0</v>
      </c>
      <c r="E126" s="38">
        <f t="shared" si="38"/>
        <v>0</v>
      </c>
      <c r="F126" s="38">
        <f t="shared" si="38"/>
        <v>0</v>
      </c>
      <c r="G126" s="38">
        <f t="shared" si="38"/>
        <v>0</v>
      </c>
      <c r="H126" s="38">
        <f t="shared" si="38"/>
        <v>0</v>
      </c>
      <c r="I126" s="38">
        <f t="shared" si="38"/>
        <v>0</v>
      </c>
      <c r="J126" s="38">
        <f t="shared" si="38"/>
        <v>0</v>
      </c>
      <c r="K126" s="38">
        <f t="shared" si="38"/>
        <v>0</v>
      </c>
    </row>
    <row r="127" spans="1:11" s="94" customFormat="1" hidden="1">
      <c r="A127" s="30" t="s">
        <v>21</v>
      </c>
      <c r="B127" s="44"/>
      <c r="C127" s="31" t="s">
        <v>67</v>
      </c>
      <c r="D127" s="32"/>
      <c r="E127" s="32"/>
      <c r="F127" s="32"/>
      <c r="G127" s="32"/>
      <c r="H127" s="32"/>
      <c r="I127" s="32"/>
      <c r="J127" s="32">
        <f>D127-I127</f>
        <v>0</v>
      </c>
      <c r="K127" s="32">
        <f>E127-I127</f>
        <v>0</v>
      </c>
    </row>
    <row r="128" spans="1:11" s="94" customFormat="1" hidden="1">
      <c r="A128" s="30" t="s">
        <v>21</v>
      </c>
      <c r="B128" s="44"/>
      <c r="C128" s="31" t="s">
        <v>68</v>
      </c>
      <c r="D128" s="32"/>
      <c r="E128" s="32"/>
      <c r="F128" s="32"/>
      <c r="G128" s="32"/>
      <c r="H128" s="32"/>
      <c r="I128" s="32"/>
      <c r="J128" s="32">
        <f>D128-I128</f>
        <v>0</v>
      </c>
      <c r="K128" s="32">
        <f>E128-I128</f>
        <v>0</v>
      </c>
    </row>
    <row r="129" spans="1:11" s="97" customFormat="1">
      <c r="A129" s="113"/>
      <c r="B129" s="44"/>
      <c r="C129" s="37"/>
      <c r="D129" s="38"/>
      <c r="E129" s="38"/>
      <c r="F129" s="38"/>
      <c r="G129" s="38"/>
      <c r="H129" s="38"/>
      <c r="I129" s="38"/>
      <c r="J129" s="38"/>
      <c r="K129" s="38"/>
    </row>
    <row r="130" spans="1:11" s="94" customFormat="1">
      <c r="A130" s="62" t="s">
        <v>136</v>
      </c>
      <c r="B130" s="44"/>
      <c r="C130" s="31" t="s">
        <v>259</v>
      </c>
      <c r="D130" s="38">
        <f>2776-2776</f>
        <v>0</v>
      </c>
      <c r="E130" s="38">
        <f>2776-2776</f>
        <v>0</v>
      </c>
      <c r="F130" s="38">
        <v>0</v>
      </c>
      <c r="G130" s="38"/>
      <c r="H130" s="38"/>
      <c r="I130" s="38">
        <v>0</v>
      </c>
      <c r="J130" s="32">
        <f>D130-I130</f>
        <v>0</v>
      </c>
      <c r="K130" s="32">
        <f>E130-I130</f>
        <v>0</v>
      </c>
    </row>
    <row r="131" spans="1:11" s="94" customFormat="1">
      <c r="A131" s="62" t="s">
        <v>136</v>
      </c>
      <c r="B131" s="44"/>
      <c r="C131" s="31" t="s">
        <v>260</v>
      </c>
      <c r="D131" s="38">
        <f>480-480</f>
        <v>0</v>
      </c>
      <c r="E131" s="38">
        <f>480-480</f>
        <v>0</v>
      </c>
      <c r="F131" s="38">
        <v>0</v>
      </c>
      <c r="G131" s="38"/>
      <c r="H131" s="38"/>
      <c r="I131" s="38">
        <v>0</v>
      </c>
      <c r="J131" s="32">
        <f>D131-I131</f>
        <v>0</v>
      </c>
      <c r="K131" s="32">
        <f>E131-I131</f>
        <v>0</v>
      </c>
    </row>
    <row r="132" spans="1:11" s="94" customFormat="1">
      <c r="A132" s="63"/>
      <c r="B132" s="44"/>
      <c r="C132" s="31"/>
      <c r="D132" s="38"/>
      <c r="E132" s="38"/>
      <c r="F132" s="38"/>
      <c r="G132" s="38"/>
      <c r="H132" s="38"/>
      <c r="I132" s="38"/>
      <c r="J132" s="38"/>
      <c r="K132" s="38"/>
    </row>
    <row r="133" spans="1:11" s="97" customFormat="1" hidden="1">
      <c r="A133" s="81" t="s">
        <v>113</v>
      </c>
      <c r="B133" s="82"/>
      <c r="C133" s="79" t="s">
        <v>114</v>
      </c>
      <c r="D133" s="80"/>
      <c r="E133" s="80"/>
      <c r="F133" s="80"/>
      <c r="G133" s="80"/>
      <c r="H133" s="80"/>
      <c r="I133" s="80"/>
      <c r="J133" s="80">
        <f>D133-I133</f>
        <v>0</v>
      </c>
      <c r="K133" s="80">
        <f>E133-I133</f>
        <v>0</v>
      </c>
    </row>
    <row r="134" spans="1:11" s="97" customFormat="1" hidden="1">
      <c r="A134" s="81" t="s">
        <v>113</v>
      </c>
      <c r="B134" s="82"/>
      <c r="C134" s="79" t="s">
        <v>118</v>
      </c>
      <c r="D134" s="80"/>
      <c r="E134" s="80"/>
      <c r="F134" s="80"/>
      <c r="G134" s="80"/>
      <c r="H134" s="80"/>
      <c r="I134" s="80"/>
      <c r="J134" s="80">
        <f>D134-I134</f>
        <v>0</v>
      </c>
      <c r="K134" s="80">
        <f>E134-I134</f>
        <v>0</v>
      </c>
    </row>
    <row r="135" spans="1:11" s="97" customFormat="1" hidden="1">
      <c r="A135" s="81" t="s">
        <v>113</v>
      </c>
      <c r="B135" s="82"/>
      <c r="C135" s="79" t="s">
        <v>119</v>
      </c>
      <c r="D135" s="80"/>
      <c r="E135" s="80"/>
      <c r="F135" s="80"/>
      <c r="G135" s="80"/>
      <c r="H135" s="80"/>
      <c r="I135" s="80"/>
      <c r="J135" s="80">
        <f>D135-I135</f>
        <v>0</v>
      </c>
      <c r="K135" s="80">
        <f>E135-I135</f>
        <v>0</v>
      </c>
    </row>
    <row r="136" spans="1:11" s="97" customFormat="1" hidden="1">
      <c r="A136" s="81"/>
      <c r="B136" s="82"/>
      <c r="C136" s="79"/>
      <c r="D136" s="85">
        <f t="shared" ref="D136:K136" si="39">SUM(D134:D135)</f>
        <v>0</v>
      </c>
      <c r="E136" s="85">
        <f t="shared" si="39"/>
        <v>0</v>
      </c>
      <c r="F136" s="85">
        <f t="shared" si="39"/>
        <v>0</v>
      </c>
      <c r="G136" s="85">
        <f t="shared" si="39"/>
        <v>0</v>
      </c>
      <c r="H136" s="85">
        <f t="shared" si="39"/>
        <v>0</v>
      </c>
      <c r="I136" s="85">
        <f t="shared" si="39"/>
        <v>0</v>
      </c>
      <c r="J136" s="85">
        <f t="shared" si="39"/>
        <v>0</v>
      </c>
      <c r="K136" s="85">
        <f t="shared" si="39"/>
        <v>0</v>
      </c>
    </row>
    <row r="137" spans="1:11" s="97" customFormat="1" hidden="1">
      <c r="A137" s="84" t="s">
        <v>120</v>
      </c>
      <c r="B137" s="82"/>
      <c r="C137" s="79"/>
      <c r="D137" s="83">
        <f t="shared" ref="D137:K137" si="40">SUM(D133:D135)</f>
        <v>0</v>
      </c>
      <c r="E137" s="83">
        <f t="shared" si="40"/>
        <v>0</v>
      </c>
      <c r="F137" s="83">
        <f t="shared" si="40"/>
        <v>0</v>
      </c>
      <c r="G137" s="83">
        <f t="shared" si="40"/>
        <v>0</v>
      </c>
      <c r="H137" s="83">
        <f t="shared" si="40"/>
        <v>0</v>
      </c>
      <c r="I137" s="83">
        <f t="shared" si="40"/>
        <v>0</v>
      </c>
      <c r="J137" s="83">
        <f t="shared" si="40"/>
        <v>0</v>
      </c>
      <c r="K137" s="83">
        <f t="shared" si="40"/>
        <v>0</v>
      </c>
    </row>
    <row r="138" spans="1:11" s="97" customFormat="1">
      <c r="A138" s="112" t="s">
        <v>147</v>
      </c>
      <c r="B138" s="82"/>
      <c r="C138" s="43" t="s">
        <v>175</v>
      </c>
      <c r="D138" s="38">
        <f t="shared" ref="D138:I138" si="41">D139+D147</f>
        <v>545959.14</v>
      </c>
      <c r="E138" s="38">
        <f>E139+E147</f>
        <v>545959.14</v>
      </c>
      <c r="F138" s="38">
        <f>F139+F147</f>
        <v>545959.14</v>
      </c>
      <c r="G138" s="38">
        <f t="shared" si="41"/>
        <v>0</v>
      </c>
      <c r="H138" s="38">
        <f t="shared" si="41"/>
        <v>0</v>
      </c>
      <c r="I138" s="38">
        <f t="shared" si="41"/>
        <v>545959.14</v>
      </c>
      <c r="J138" s="38">
        <f>D138-I138</f>
        <v>0</v>
      </c>
      <c r="K138" s="38">
        <f>E138-I138</f>
        <v>0</v>
      </c>
    </row>
    <row r="139" spans="1:11" s="97" customFormat="1">
      <c r="A139" s="112" t="s">
        <v>148</v>
      </c>
      <c r="B139" s="82"/>
      <c r="C139" s="43" t="s">
        <v>143</v>
      </c>
      <c r="D139" s="38">
        <f t="shared" ref="D139:K139" si="42">D141+D143+D144+D145+D142</f>
        <v>465412.47</v>
      </c>
      <c r="E139" s="38">
        <f t="shared" si="42"/>
        <v>465412.47</v>
      </c>
      <c r="F139" s="38">
        <f t="shared" si="42"/>
        <v>465412.47</v>
      </c>
      <c r="G139" s="38">
        <f t="shared" si="42"/>
        <v>0</v>
      </c>
      <c r="H139" s="38">
        <f t="shared" si="42"/>
        <v>0</v>
      </c>
      <c r="I139" s="38">
        <f t="shared" si="42"/>
        <v>465412.47</v>
      </c>
      <c r="J139" s="38">
        <f t="shared" si="42"/>
        <v>0</v>
      </c>
      <c r="K139" s="38">
        <f t="shared" si="42"/>
        <v>0</v>
      </c>
    </row>
    <row r="140" spans="1:11" s="97" customFormat="1">
      <c r="A140" s="115" t="s">
        <v>146</v>
      </c>
      <c r="B140" s="82"/>
      <c r="C140" s="79"/>
      <c r="D140" s="83"/>
      <c r="E140" s="83"/>
      <c r="F140" s="83"/>
      <c r="G140" s="83"/>
      <c r="H140" s="83"/>
      <c r="I140" s="83"/>
      <c r="J140" s="83"/>
      <c r="K140" s="83"/>
    </row>
    <row r="141" spans="1:11" s="94" customFormat="1" ht="17.25" customHeight="1">
      <c r="A141" s="30" t="s">
        <v>18</v>
      </c>
      <c r="B141" s="44"/>
      <c r="C141" s="31" t="s">
        <v>267</v>
      </c>
      <c r="D141" s="32">
        <f>105200-19-34563.53</f>
        <v>70617.47</v>
      </c>
      <c r="E141" s="32">
        <f>105200-19-34563.53</f>
        <v>70617.47</v>
      </c>
      <c r="F141" s="32">
        <v>70617.47</v>
      </c>
      <c r="G141" s="32"/>
      <c r="H141" s="32"/>
      <c r="I141" s="32">
        <v>70617.47</v>
      </c>
      <c r="J141" s="32">
        <f>D141-I141</f>
        <v>0</v>
      </c>
      <c r="K141" s="32">
        <f>E141-I141</f>
        <v>0</v>
      </c>
    </row>
    <row r="142" spans="1:11" s="94" customFormat="1" ht="17.25" customHeight="1">
      <c r="A142" s="30" t="s">
        <v>18</v>
      </c>
      <c r="B142" s="44"/>
      <c r="C142" s="31" t="s">
        <v>271</v>
      </c>
      <c r="D142" s="32">
        <f>376+19</f>
        <v>395</v>
      </c>
      <c r="E142" s="32">
        <f>376+19</f>
        <v>395</v>
      </c>
      <c r="F142" s="32">
        <v>395</v>
      </c>
      <c r="G142" s="32"/>
      <c r="H142" s="32"/>
      <c r="I142" s="32">
        <v>395</v>
      </c>
      <c r="J142" s="32">
        <f>D142-I142</f>
        <v>0</v>
      </c>
      <c r="K142" s="32">
        <f>E142-I142</f>
        <v>0</v>
      </c>
    </row>
    <row r="143" spans="1:11" s="94" customFormat="1" ht="17.25" customHeight="1">
      <c r="A143" s="30" t="s">
        <v>19</v>
      </c>
      <c r="B143" s="44"/>
      <c r="C143" s="31" t="s">
        <v>261</v>
      </c>
      <c r="D143" s="32">
        <f>376-376</f>
        <v>0</v>
      </c>
      <c r="E143" s="32">
        <f>376-376</f>
        <v>0</v>
      </c>
      <c r="F143" s="32"/>
      <c r="G143" s="32"/>
      <c r="H143" s="32"/>
      <c r="I143" s="32"/>
      <c r="J143" s="32">
        <f>D143-I143</f>
        <v>0</v>
      </c>
      <c r="K143" s="32">
        <f>E143-I143</f>
        <v>0</v>
      </c>
    </row>
    <row r="144" spans="1:11" s="94" customFormat="1" ht="17.25" customHeight="1">
      <c r="A144" s="30" t="s">
        <v>18</v>
      </c>
      <c r="B144" s="44"/>
      <c r="C144" s="31" t="s">
        <v>215</v>
      </c>
      <c r="D144" s="32">
        <f>194400-16874.86</f>
        <v>177525.14</v>
      </c>
      <c r="E144" s="32">
        <f>194400-16874.86</f>
        <v>177525.14</v>
      </c>
      <c r="F144" s="32">
        <v>177525.14</v>
      </c>
      <c r="G144" s="32"/>
      <c r="H144" s="32"/>
      <c r="I144" s="32">
        <v>177525.14</v>
      </c>
      <c r="J144" s="32">
        <f>D144-I144</f>
        <v>0</v>
      </c>
      <c r="K144" s="32">
        <f>E144-I144</f>
        <v>0</v>
      </c>
    </row>
    <row r="145" spans="1:11" s="94" customFormat="1" ht="17.25" customHeight="1">
      <c r="A145" s="30" t="s">
        <v>19</v>
      </c>
      <c r="B145" s="44"/>
      <c r="C145" s="31" t="s">
        <v>268</v>
      </c>
      <c r="D145" s="32">
        <f>200000+16874.86</f>
        <v>216874.86</v>
      </c>
      <c r="E145" s="32">
        <f>200000+16874.86</f>
        <v>216874.86</v>
      </c>
      <c r="F145" s="32">
        <v>216874.86</v>
      </c>
      <c r="G145" s="32"/>
      <c r="H145" s="32"/>
      <c r="I145" s="32">
        <v>216874.86</v>
      </c>
      <c r="J145" s="32">
        <f>D145-I145</f>
        <v>0</v>
      </c>
      <c r="K145" s="32">
        <f>E145-I145</f>
        <v>0</v>
      </c>
    </row>
    <row r="146" spans="1:11" s="94" customFormat="1" ht="17.25" customHeight="1">
      <c r="A146" s="30"/>
      <c r="B146" s="44"/>
      <c r="C146" s="31"/>
      <c r="D146" s="32"/>
      <c r="E146" s="32"/>
      <c r="F146" s="32"/>
      <c r="G146" s="32"/>
      <c r="H146" s="32"/>
      <c r="I146" s="32"/>
      <c r="J146" s="32"/>
      <c r="K146" s="32"/>
    </row>
    <row r="147" spans="1:11" s="94" customFormat="1" ht="124.5" customHeight="1">
      <c r="A147" s="136" t="s">
        <v>279</v>
      </c>
      <c r="B147" s="64"/>
      <c r="C147" s="37" t="s">
        <v>276</v>
      </c>
      <c r="D147" s="38">
        <v>80546.67</v>
      </c>
      <c r="E147" s="38">
        <v>80546.67</v>
      </c>
      <c r="F147" s="38">
        <v>80546.67</v>
      </c>
      <c r="G147" s="38"/>
      <c r="H147" s="38"/>
      <c r="I147" s="38">
        <v>80546.67</v>
      </c>
      <c r="J147" s="32">
        <f>D147-I147</f>
        <v>0</v>
      </c>
      <c r="K147" s="32">
        <f>E147-I147</f>
        <v>0</v>
      </c>
    </row>
    <row r="148" spans="1:11" s="94" customFormat="1" ht="28.5" customHeight="1">
      <c r="A148" s="64"/>
      <c r="B148" s="64"/>
      <c r="C148" s="37"/>
      <c r="D148" s="38"/>
      <c r="E148" s="38"/>
      <c r="F148" s="38"/>
      <c r="G148" s="38"/>
      <c r="H148" s="38"/>
      <c r="I148" s="38"/>
      <c r="J148" s="38"/>
      <c r="K148" s="38"/>
    </row>
    <row r="149" spans="1:11" s="94" customFormat="1" ht="17.25" customHeight="1">
      <c r="A149" s="138" t="s">
        <v>149</v>
      </c>
      <c r="B149" s="44"/>
      <c r="C149" s="139" t="s">
        <v>159</v>
      </c>
      <c r="D149" s="38">
        <f>D151+D152</f>
        <v>16720125.73</v>
      </c>
      <c r="E149" s="38">
        <f t="shared" ref="E149:K149" si="43">E151+E152</f>
        <v>16720125.73</v>
      </c>
      <c r="F149" s="38">
        <f>F151+F152</f>
        <v>16687840.43</v>
      </c>
      <c r="G149" s="38">
        <f t="shared" si="43"/>
        <v>0</v>
      </c>
      <c r="H149" s="38">
        <f t="shared" si="43"/>
        <v>0</v>
      </c>
      <c r="I149" s="38">
        <f t="shared" si="43"/>
        <v>16687840.43</v>
      </c>
      <c r="J149" s="38">
        <f t="shared" si="43"/>
        <v>32285.299999999988</v>
      </c>
      <c r="K149" s="38">
        <f t="shared" si="43"/>
        <v>32285.299999999988</v>
      </c>
    </row>
    <row r="150" spans="1:11" s="94" customFormat="1" ht="17.25" customHeight="1">
      <c r="A150" s="138"/>
      <c r="B150" s="44"/>
      <c r="C150" s="139"/>
      <c r="D150" s="38"/>
      <c r="E150" s="38"/>
      <c r="F150" s="38"/>
      <c r="G150" s="38"/>
      <c r="H150" s="38"/>
      <c r="I150" s="38"/>
      <c r="J150" s="38"/>
      <c r="K150" s="38"/>
    </row>
    <row r="151" spans="1:11" s="94" customFormat="1" ht="80.25" customHeight="1">
      <c r="A151" s="140" t="s">
        <v>278</v>
      </c>
      <c r="B151" s="44"/>
      <c r="C151" s="141" t="s">
        <v>277</v>
      </c>
      <c r="D151" s="135">
        <v>16086496.6</v>
      </c>
      <c r="E151" s="135">
        <v>16086496.6</v>
      </c>
      <c r="F151" s="135">
        <v>16086496.6</v>
      </c>
      <c r="G151" s="135"/>
      <c r="H151" s="135"/>
      <c r="I151" s="135">
        <v>16086496.6</v>
      </c>
      <c r="J151" s="135">
        <f>D151-I151</f>
        <v>0</v>
      </c>
      <c r="K151" s="135">
        <f>E151-I151</f>
        <v>0</v>
      </c>
    </row>
    <row r="152" spans="1:11" s="94" customFormat="1" ht="17.25" customHeight="1">
      <c r="A152" s="138" t="s">
        <v>150</v>
      </c>
      <c r="B152" s="44"/>
      <c r="C152" s="139" t="s">
        <v>305</v>
      </c>
      <c r="D152" s="38">
        <f>D153+D161+D162</f>
        <v>633629.13</v>
      </c>
      <c r="E152" s="38">
        <f t="shared" ref="E152:K152" si="44">E153+E161+E162</f>
        <v>633629.13</v>
      </c>
      <c r="F152" s="38">
        <f>F153+F161+F162</f>
        <v>601343.83000000007</v>
      </c>
      <c r="G152" s="38">
        <f t="shared" si="44"/>
        <v>0</v>
      </c>
      <c r="H152" s="38">
        <f t="shared" si="44"/>
        <v>0</v>
      </c>
      <c r="I152" s="38">
        <f t="shared" si="44"/>
        <v>601343.83000000007</v>
      </c>
      <c r="J152" s="38">
        <f t="shared" si="44"/>
        <v>32285.299999999988</v>
      </c>
      <c r="K152" s="38">
        <f t="shared" si="44"/>
        <v>32285.299999999988</v>
      </c>
    </row>
    <row r="153" spans="1:11" s="94" customFormat="1" ht="17.25" customHeight="1">
      <c r="A153" s="138" t="s">
        <v>150</v>
      </c>
      <c r="B153" s="44"/>
      <c r="C153" s="139" t="s">
        <v>158</v>
      </c>
      <c r="D153" s="38">
        <f>D154</f>
        <v>348344.13</v>
      </c>
      <c r="E153" s="38">
        <f>E154</f>
        <v>348344.13</v>
      </c>
      <c r="F153" s="38">
        <f t="shared" ref="F153:K153" si="45">F154</f>
        <v>348343.83</v>
      </c>
      <c r="G153" s="38">
        <f t="shared" si="45"/>
        <v>0</v>
      </c>
      <c r="H153" s="38">
        <f t="shared" si="45"/>
        <v>0</v>
      </c>
      <c r="I153" s="38">
        <f t="shared" si="45"/>
        <v>348343.83</v>
      </c>
      <c r="J153" s="38">
        <f t="shared" si="45"/>
        <v>0.29999999998835847</v>
      </c>
      <c r="K153" s="38">
        <f t="shared" si="45"/>
        <v>0.29999999998835847</v>
      </c>
    </row>
    <row r="154" spans="1:11" s="97" customFormat="1">
      <c r="A154" s="62" t="s">
        <v>146</v>
      </c>
      <c r="B154" s="82"/>
      <c r="C154" s="142" t="s">
        <v>157</v>
      </c>
      <c r="D154" s="38">
        <f>D155+D156+D159+D158</f>
        <v>348344.13</v>
      </c>
      <c r="E154" s="38">
        <f>E155+E156+E159+E158</f>
        <v>348344.13</v>
      </c>
      <c r="F154" s="38">
        <f t="shared" ref="F154:K154" si="46">F155+F156+F159</f>
        <v>348343.83</v>
      </c>
      <c r="G154" s="38">
        <f t="shared" si="46"/>
        <v>0</v>
      </c>
      <c r="H154" s="38">
        <f t="shared" si="46"/>
        <v>0</v>
      </c>
      <c r="I154" s="38">
        <f t="shared" si="46"/>
        <v>348343.83</v>
      </c>
      <c r="J154" s="38">
        <f t="shared" si="46"/>
        <v>0.29999999998835847</v>
      </c>
      <c r="K154" s="38">
        <f t="shared" si="46"/>
        <v>0.29999999998835847</v>
      </c>
    </row>
    <row r="155" spans="1:11">
      <c r="A155" s="30" t="s">
        <v>17</v>
      </c>
      <c r="B155" s="88"/>
      <c r="C155" s="31" t="s">
        <v>216</v>
      </c>
      <c r="D155" s="32">
        <f>187252+60000+40000</f>
        <v>287252</v>
      </c>
      <c r="E155" s="32">
        <f>187252+60000+40000</f>
        <v>287252</v>
      </c>
      <c r="F155" s="32">
        <v>287251.7</v>
      </c>
      <c r="G155" s="32"/>
      <c r="H155" s="32"/>
      <c r="I155" s="32">
        <v>287251.7</v>
      </c>
      <c r="J155" s="32">
        <f>D155-I155</f>
        <v>0.29999999998835847</v>
      </c>
      <c r="K155" s="32">
        <f>E155-I155</f>
        <v>0.29999999998835847</v>
      </c>
    </row>
    <row r="156" spans="1:11">
      <c r="A156" s="62" t="s">
        <v>136</v>
      </c>
      <c r="B156" s="88"/>
      <c r="C156" s="31" t="s">
        <v>262</v>
      </c>
      <c r="D156" s="32">
        <f>50621+17000-6528.87</f>
        <v>61092.13</v>
      </c>
      <c r="E156" s="32">
        <f>50621+17000-6528.87</f>
        <v>61092.13</v>
      </c>
      <c r="F156" s="32">
        <v>61092.13</v>
      </c>
      <c r="G156" s="32"/>
      <c r="H156" s="32"/>
      <c r="I156" s="32">
        <v>61092.13</v>
      </c>
      <c r="J156" s="32">
        <f>D156-I156</f>
        <v>0</v>
      </c>
      <c r="K156" s="32">
        <f>E156-I156</f>
        <v>0</v>
      </c>
    </row>
    <row r="157" spans="1:11" hidden="1">
      <c r="A157" s="30" t="s">
        <v>18</v>
      </c>
      <c r="B157" s="88"/>
      <c r="C157" s="31" t="s">
        <v>94</v>
      </c>
      <c r="D157" s="32"/>
      <c r="E157" s="32"/>
      <c r="F157" s="32"/>
      <c r="G157" s="32"/>
      <c r="H157" s="32"/>
      <c r="I157" s="32"/>
      <c r="J157" s="32">
        <f>D157-I157</f>
        <v>0</v>
      </c>
      <c r="K157" s="32">
        <f>E157-I157</f>
        <v>0</v>
      </c>
    </row>
    <row r="158" spans="1:11">
      <c r="A158" s="62" t="s">
        <v>136</v>
      </c>
      <c r="B158" s="88"/>
      <c r="C158" s="31" t="s">
        <v>298</v>
      </c>
      <c r="D158" s="32">
        <f>19465-19465</f>
        <v>0</v>
      </c>
      <c r="E158" s="32">
        <f>19465-19465</f>
        <v>0</v>
      </c>
      <c r="F158" s="32">
        <v>0</v>
      </c>
      <c r="G158" s="32"/>
      <c r="H158" s="32"/>
      <c r="I158" s="32">
        <v>0</v>
      </c>
      <c r="J158" s="32">
        <f>D158-I158</f>
        <v>0</v>
      </c>
      <c r="K158" s="32">
        <f>E158-I158</f>
        <v>0</v>
      </c>
    </row>
    <row r="159" spans="1:11">
      <c r="A159" s="30" t="s">
        <v>19</v>
      </c>
      <c r="B159" s="88"/>
      <c r="C159" s="31" t="s">
        <v>263</v>
      </c>
      <c r="D159" s="32">
        <f>1000-1000</f>
        <v>0</v>
      </c>
      <c r="E159" s="32">
        <f>1000-1000</f>
        <v>0</v>
      </c>
      <c r="F159" s="32">
        <v>0</v>
      </c>
      <c r="G159" s="32"/>
      <c r="H159" s="32"/>
      <c r="I159" s="32">
        <v>0</v>
      </c>
      <c r="J159" s="32">
        <f>D159-I159</f>
        <v>0</v>
      </c>
      <c r="K159" s="32">
        <f>E159-I159</f>
        <v>0</v>
      </c>
    </row>
    <row r="160" spans="1:11">
      <c r="A160" s="30"/>
      <c r="B160" s="88"/>
      <c r="C160" s="31"/>
      <c r="D160" s="32"/>
      <c r="E160" s="32"/>
      <c r="F160" s="32"/>
      <c r="G160" s="32"/>
      <c r="H160" s="32"/>
      <c r="I160" s="32"/>
      <c r="J160" s="32"/>
      <c r="K160" s="32"/>
    </row>
    <row r="161" spans="1:11">
      <c r="A161" s="30" t="s">
        <v>19</v>
      </c>
      <c r="B161" s="88"/>
      <c r="C161" s="31" t="s">
        <v>294</v>
      </c>
      <c r="D161" s="32">
        <v>285000</v>
      </c>
      <c r="E161" s="32">
        <v>285000</v>
      </c>
      <c r="F161" s="32">
        <v>252715</v>
      </c>
      <c r="G161" s="32"/>
      <c r="H161" s="32"/>
      <c r="I161" s="32">
        <v>252715</v>
      </c>
      <c r="J161" s="32">
        <f>D161-I161</f>
        <v>32285</v>
      </c>
      <c r="K161" s="32">
        <f>E161-I161</f>
        <v>32285</v>
      </c>
    </row>
    <row r="162" spans="1:11">
      <c r="A162" s="30" t="s">
        <v>19</v>
      </c>
      <c r="B162" s="88"/>
      <c r="C162" s="31" t="s">
        <v>295</v>
      </c>
      <c r="D162" s="32">
        <v>285</v>
      </c>
      <c r="E162" s="32">
        <v>285</v>
      </c>
      <c r="F162" s="32">
        <v>285</v>
      </c>
      <c r="G162" s="32"/>
      <c r="H162" s="32"/>
      <c r="I162" s="32">
        <v>285</v>
      </c>
      <c r="J162" s="32">
        <f>D162-I162</f>
        <v>0</v>
      </c>
      <c r="K162" s="32">
        <f>E162-I162</f>
        <v>0</v>
      </c>
    </row>
    <row r="163" spans="1:11" s="94" customFormat="1">
      <c r="A163" s="36"/>
      <c r="B163" s="44"/>
      <c r="C163" s="37"/>
      <c r="D163" s="38"/>
      <c r="E163" s="38"/>
      <c r="F163" s="38"/>
      <c r="G163" s="38"/>
      <c r="H163" s="38"/>
      <c r="I163" s="38"/>
      <c r="J163" s="38"/>
      <c r="K163" s="38"/>
    </row>
    <row r="164" spans="1:11" s="94" customFormat="1">
      <c r="A164" s="138" t="s">
        <v>151</v>
      </c>
      <c r="B164" s="44"/>
      <c r="C164" s="139" t="s">
        <v>160</v>
      </c>
      <c r="D164" s="38">
        <f t="shared" ref="D164:K164" si="47">D165+D185</f>
        <v>3099219.2199999997</v>
      </c>
      <c r="E164" s="38">
        <f t="shared" si="47"/>
        <v>3099219.2199999997</v>
      </c>
      <c r="F164" s="38">
        <f t="shared" si="47"/>
        <v>3006193.58</v>
      </c>
      <c r="G164" s="38">
        <f t="shared" si="47"/>
        <v>0</v>
      </c>
      <c r="H164" s="38">
        <f t="shared" si="47"/>
        <v>0</v>
      </c>
      <c r="I164" s="38">
        <f t="shared" si="47"/>
        <v>3006193.58</v>
      </c>
      <c r="J164" s="38">
        <f t="shared" si="47"/>
        <v>93025.640000000043</v>
      </c>
      <c r="K164" s="38">
        <f t="shared" si="47"/>
        <v>93025.640000000043</v>
      </c>
    </row>
    <row r="165" spans="1:11" s="94" customFormat="1" ht="21.75">
      <c r="A165" s="138" t="s">
        <v>152</v>
      </c>
      <c r="B165" s="44"/>
      <c r="C165" s="139" t="s">
        <v>161</v>
      </c>
      <c r="D165" s="38">
        <f t="shared" ref="D165:K165" si="48">D166+D175+D176+D178+D183</f>
        <v>941825.38</v>
      </c>
      <c r="E165" s="38">
        <f t="shared" si="48"/>
        <v>941825.38</v>
      </c>
      <c r="F165" s="38">
        <f t="shared" si="48"/>
        <v>938303.70000000007</v>
      </c>
      <c r="G165" s="38">
        <f t="shared" si="48"/>
        <v>0</v>
      </c>
      <c r="H165" s="38">
        <f t="shared" si="48"/>
        <v>0</v>
      </c>
      <c r="I165" s="38">
        <f t="shared" si="48"/>
        <v>938303.70000000007</v>
      </c>
      <c r="J165" s="38">
        <f t="shared" si="48"/>
        <v>3521.6800000000003</v>
      </c>
      <c r="K165" s="38">
        <f t="shared" si="48"/>
        <v>3521.6800000000003</v>
      </c>
    </row>
    <row r="166" spans="1:11" s="94" customFormat="1">
      <c r="A166" s="62" t="s">
        <v>154</v>
      </c>
      <c r="B166" s="44"/>
      <c r="C166" s="142" t="s">
        <v>162</v>
      </c>
      <c r="D166" s="38">
        <f t="shared" ref="D166:K166" si="49">D167+D170+D173</f>
        <v>816311.54</v>
      </c>
      <c r="E166" s="38">
        <f t="shared" si="49"/>
        <v>816311.54</v>
      </c>
      <c r="F166" s="38">
        <f t="shared" si="49"/>
        <v>816311.54</v>
      </c>
      <c r="G166" s="38">
        <f t="shared" si="49"/>
        <v>0</v>
      </c>
      <c r="H166" s="38">
        <f t="shared" si="49"/>
        <v>0</v>
      </c>
      <c r="I166" s="38">
        <f t="shared" si="49"/>
        <v>816311.54</v>
      </c>
      <c r="J166" s="38">
        <f t="shared" si="49"/>
        <v>0</v>
      </c>
      <c r="K166" s="38">
        <f t="shared" si="49"/>
        <v>0</v>
      </c>
    </row>
    <row r="167" spans="1:11">
      <c r="A167" s="30" t="s">
        <v>25</v>
      </c>
      <c r="B167" s="88"/>
      <c r="C167" s="31" t="s">
        <v>218</v>
      </c>
      <c r="D167" s="32">
        <f>622582-18631.5</f>
        <v>603950.5</v>
      </c>
      <c r="E167" s="32">
        <f>622582-18631.5</f>
        <v>603950.5</v>
      </c>
      <c r="F167" s="32">
        <v>603950.5</v>
      </c>
      <c r="G167" s="32"/>
      <c r="H167" s="32"/>
      <c r="I167" s="32">
        <v>603950.5</v>
      </c>
      <c r="J167" s="32">
        <f>D167-I167</f>
        <v>0</v>
      </c>
      <c r="K167" s="32">
        <f>E167-I167</f>
        <v>0</v>
      </c>
    </row>
    <row r="168" spans="1:11" ht="22.5">
      <c r="A168" s="39" t="s">
        <v>26</v>
      </c>
      <c r="B168" s="88"/>
      <c r="C168" s="31" t="s">
        <v>217</v>
      </c>
      <c r="D168" s="32">
        <f>18000-3000</f>
        <v>15000</v>
      </c>
      <c r="E168" s="32">
        <f>18000-3000</f>
        <v>15000</v>
      </c>
      <c r="F168" s="32">
        <v>15000</v>
      </c>
      <c r="G168" s="32"/>
      <c r="H168" s="32"/>
      <c r="I168" s="32">
        <v>15000</v>
      </c>
      <c r="J168" s="32">
        <f>D168-I168</f>
        <v>0</v>
      </c>
      <c r="K168" s="32">
        <f>E168-I168</f>
        <v>0</v>
      </c>
    </row>
    <row r="169" spans="1:11" ht="22.5">
      <c r="A169" s="39" t="s">
        <v>27</v>
      </c>
      <c r="B169" s="88"/>
      <c r="C169" s="31" t="s">
        <v>219</v>
      </c>
      <c r="D169" s="32">
        <v>17000</v>
      </c>
      <c r="E169" s="32">
        <v>17000</v>
      </c>
      <c r="F169" s="32">
        <v>17000</v>
      </c>
      <c r="G169" s="32"/>
      <c r="H169" s="32"/>
      <c r="I169" s="32">
        <v>17000</v>
      </c>
      <c r="J169" s="32">
        <f>D169-I169</f>
        <v>0</v>
      </c>
      <c r="K169" s="32">
        <f>E169-I169</f>
        <v>0</v>
      </c>
    </row>
    <row r="170" spans="1:11" s="93" customFormat="1">
      <c r="A170" s="40" t="s">
        <v>156</v>
      </c>
      <c r="B170" s="92"/>
      <c r="C170" s="34"/>
      <c r="D170" s="35">
        <f t="shared" ref="D170:K170" si="50">SUM(D168:D169)</f>
        <v>32000</v>
      </c>
      <c r="E170" s="35">
        <f>SUM(E168:E169)</f>
        <v>32000</v>
      </c>
      <c r="F170" s="35">
        <f>SUM(F168:F169)</f>
        <v>32000</v>
      </c>
      <c r="G170" s="35">
        <f t="shared" si="50"/>
        <v>0</v>
      </c>
      <c r="H170" s="35">
        <f t="shared" si="50"/>
        <v>0</v>
      </c>
      <c r="I170" s="35">
        <f t="shared" si="50"/>
        <v>32000</v>
      </c>
      <c r="J170" s="35">
        <f t="shared" si="50"/>
        <v>0</v>
      </c>
      <c r="K170" s="35">
        <f t="shared" si="50"/>
        <v>0</v>
      </c>
    </row>
    <row r="171" spans="1:11">
      <c r="A171" s="86" t="s">
        <v>109</v>
      </c>
      <c r="B171" s="88"/>
      <c r="C171" s="31" t="s">
        <v>220</v>
      </c>
      <c r="D171" s="32">
        <f>136968-5436</f>
        <v>131532</v>
      </c>
      <c r="E171" s="32">
        <f>136968-5436</f>
        <v>131532</v>
      </c>
      <c r="F171" s="32">
        <v>131532</v>
      </c>
      <c r="G171" s="32"/>
      <c r="H171" s="32"/>
      <c r="I171" s="32">
        <v>131532</v>
      </c>
      <c r="J171" s="32">
        <f>D171-I171</f>
        <v>0</v>
      </c>
      <c r="K171" s="32">
        <f>E171-I171</f>
        <v>0</v>
      </c>
    </row>
    <row r="172" spans="1:11">
      <c r="A172" s="86" t="s">
        <v>110</v>
      </c>
      <c r="B172" s="88"/>
      <c r="C172" s="31" t="s">
        <v>221</v>
      </c>
      <c r="D172" s="32">
        <f>51052-2222.96</f>
        <v>48829.04</v>
      </c>
      <c r="E172" s="32">
        <f>51052-2222.96</f>
        <v>48829.04</v>
      </c>
      <c r="F172" s="32">
        <v>48829.04</v>
      </c>
      <c r="G172" s="32"/>
      <c r="H172" s="32"/>
      <c r="I172" s="32">
        <v>48829.04</v>
      </c>
      <c r="J172" s="32">
        <f>D172-I172</f>
        <v>0</v>
      </c>
      <c r="K172" s="32">
        <f>E172-I172</f>
        <v>0</v>
      </c>
    </row>
    <row r="173" spans="1:11" s="93" customFormat="1">
      <c r="A173" s="62" t="s">
        <v>155</v>
      </c>
      <c r="B173" s="92"/>
      <c r="C173" s="34"/>
      <c r="D173" s="35">
        <f t="shared" ref="D173:K173" si="51">SUM(D171:D172)</f>
        <v>180361.04</v>
      </c>
      <c r="E173" s="35">
        <f>SUM(E171:E172)</f>
        <v>180361.04</v>
      </c>
      <c r="F173" s="35">
        <f>SUM(F171:F172)</f>
        <v>180361.04</v>
      </c>
      <c r="G173" s="35">
        <f t="shared" si="51"/>
        <v>0</v>
      </c>
      <c r="H173" s="35">
        <f t="shared" si="51"/>
        <v>0</v>
      </c>
      <c r="I173" s="35">
        <f t="shared" si="51"/>
        <v>180361.04</v>
      </c>
      <c r="J173" s="35">
        <f t="shared" si="51"/>
        <v>0</v>
      </c>
      <c r="K173" s="35">
        <f t="shared" si="51"/>
        <v>0</v>
      </c>
    </row>
    <row r="174" spans="1:11" s="93" customFormat="1">
      <c r="A174" s="62"/>
      <c r="B174" s="92"/>
      <c r="C174" s="34"/>
      <c r="D174" s="35"/>
      <c r="E174" s="35"/>
      <c r="F174" s="35"/>
      <c r="G174" s="35"/>
      <c r="H174" s="35"/>
      <c r="I174" s="35"/>
      <c r="J174" s="35"/>
      <c r="K174" s="35"/>
    </row>
    <row r="175" spans="1:11">
      <c r="A175" s="30" t="s">
        <v>16</v>
      </c>
      <c r="B175" s="88"/>
      <c r="C175" s="31" t="s">
        <v>222</v>
      </c>
      <c r="D175" s="32">
        <f>25400-3000</f>
        <v>22400</v>
      </c>
      <c r="E175" s="32">
        <f>25400-3000</f>
        <v>22400</v>
      </c>
      <c r="F175" s="32">
        <v>22400</v>
      </c>
      <c r="G175" s="32"/>
      <c r="H175" s="32"/>
      <c r="I175" s="32">
        <v>22400</v>
      </c>
      <c r="J175" s="32">
        <f>D175-I175</f>
        <v>0</v>
      </c>
      <c r="K175" s="32">
        <f>E175-I175</f>
        <v>0</v>
      </c>
    </row>
    <row r="176" spans="1:11">
      <c r="A176" s="30" t="s">
        <v>19</v>
      </c>
      <c r="B176" s="88"/>
      <c r="C176" s="31" t="s">
        <v>264</v>
      </c>
      <c r="D176" s="32">
        <f>13050-5100-1220</f>
        <v>6730</v>
      </c>
      <c r="E176" s="32">
        <f>13050-5100-1220</f>
        <v>6730</v>
      </c>
      <c r="F176" s="32">
        <v>6730</v>
      </c>
      <c r="G176" s="32"/>
      <c r="H176" s="32"/>
      <c r="I176" s="32">
        <v>6730</v>
      </c>
      <c r="J176" s="32">
        <f>D176-I176</f>
        <v>0</v>
      </c>
      <c r="K176" s="32">
        <f>E176-I176</f>
        <v>0</v>
      </c>
    </row>
    <row r="177" spans="1:11">
      <c r="A177" s="30"/>
      <c r="B177" s="88"/>
      <c r="C177" s="31"/>
      <c r="D177" s="32"/>
      <c r="E177" s="32"/>
      <c r="F177" s="32"/>
      <c r="G177" s="32"/>
      <c r="H177" s="32"/>
      <c r="I177" s="32"/>
      <c r="J177" s="32"/>
      <c r="K177" s="32"/>
    </row>
    <row r="178" spans="1:11" s="93" customFormat="1">
      <c r="A178" s="62" t="s">
        <v>146</v>
      </c>
      <c r="B178" s="92"/>
      <c r="C178" s="34"/>
      <c r="D178" s="35">
        <f t="shared" ref="D178:K178" si="52">D179+D180+D181</f>
        <v>78749.84</v>
      </c>
      <c r="E178" s="35">
        <f t="shared" si="52"/>
        <v>78749.84</v>
      </c>
      <c r="F178" s="35">
        <f t="shared" si="52"/>
        <v>75228.160000000003</v>
      </c>
      <c r="G178" s="35">
        <f t="shared" si="52"/>
        <v>0</v>
      </c>
      <c r="H178" s="35">
        <f t="shared" si="52"/>
        <v>0</v>
      </c>
      <c r="I178" s="35">
        <f t="shared" si="52"/>
        <v>75228.160000000003</v>
      </c>
      <c r="J178" s="35">
        <f t="shared" si="52"/>
        <v>3521.6800000000003</v>
      </c>
      <c r="K178" s="35">
        <f t="shared" si="52"/>
        <v>3521.6800000000003</v>
      </c>
    </row>
    <row r="179" spans="1:11">
      <c r="A179" s="30" t="s">
        <v>15</v>
      </c>
      <c r="B179" s="88"/>
      <c r="C179" s="31" t="s">
        <v>265</v>
      </c>
      <c r="D179" s="32">
        <f>11948-2681.16+621</f>
        <v>9887.84</v>
      </c>
      <c r="E179" s="32">
        <f>11948-2681.16+621</f>
        <v>9887.84</v>
      </c>
      <c r="F179" s="32">
        <f>620.68+8025.48</f>
        <v>8646.16</v>
      </c>
      <c r="G179" s="32"/>
      <c r="H179" s="32"/>
      <c r="I179" s="32">
        <f>620.68+8025.48</f>
        <v>8646.16</v>
      </c>
      <c r="J179" s="32">
        <f>D179-I179</f>
        <v>1241.6800000000003</v>
      </c>
      <c r="K179" s="32">
        <f>E179-I179</f>
        <v>1241.6800000000003</v>
      </c>
    </row>
    <row r="180" spans="1:11">
      <c r="A180" s="30" t="s">
        <v>18</v>
      </c>
      <c r="B180" s="88"/>
      <c r="C180" s="31" t="s">
        <v>223</v>
      </c>
      <c r="D180" s="32">
        <f>6252-6252</f>
        <v>0</v>
      </c>
      <c r="E180" s="32">
        <f>6252-6252</f>
        <v>0</v>
      </c>
      <c r="F180" s="32">
        <v>0</v>
      </c>
      <c r="G180" s="32"/>
      <c r="H180" s="32"/>
      <c r="I180" s="32">
        <v>0</v>
      </c>
      <c r="J180" s="32">
        <f>D180-I180</f>
        <v>0</v>
      </c>
      <c r="K180" s="32">
        <f>E180-I180</f>
        <v>0</v>
      </c>
    </row>
    <row r="181" spans="1:11">
      <c r="A181" s="30" t="s">
        <v>19</v>
      </c>
      <c r="B181" s="88"/>
      <c r="C181" s="31" t="s">
        <v>266</v>
      </c>
      <c r="D181" s="32">
        <f>62584+10950-4672</f>
        <v>68862</v>
      </c>
      <c r="E181" s="32">
        <f>62584+10950-4672</f>
        <v>68862</v>
      </c>
      <c r="F181" s="32">
        <v>66582</v>
      </c>
      <c r="G181" s="32"/>
      <c r="H181" s="32"/>
      <c r="I181" s="32">
        <v>66582</v>
      </c>
      <c r="J181" s="32">
        <f>D181-I181</f>
        <v>2280</v>
      </c>
      <c r="K181" s="32">
        <f>E181-I181</f>
        <v>2280</v>
      </c>
    </row>
    <row r="182" spans="1:11" hidden="1">
      <c r="A182" s="30" t="s">
        <v>21</v>
      </c>
      <c r="B182" s="88"/>
      <c r="C182" s="79" t="s">
        <v>35</v>
      </c>
      <c r="D182" s="32"/>
      <c r="E182" s="32"/>
      <c r="F182" s="32"/>
      <c r="G182" s="32"/>
      <c r="H182" s="32"/>
      <c r="I182" s="32"/>
      <c r="J182" s="32">
        <f>D182-I182</f>
        <v>0</v>
      </c>
      <c r="K182" s="32">
        <f>E182-I182</f>
        <v>0</v>
      </c>
    </row>
    <row r="183" spans="1:11">
      <c r="A183" s="115" t="s">
        <v>164</v>
      </c>
      <c r="B183" s="88"/>
      <c r="C183" s="31" t="s">
        <v>224</v>
      </c>
      <c r="D183" s="32">
        <v>17634</v>
      </c>
      <c r="E183" s="32">
        <v>17634</v>
      </c>
      <c r="F183" s="32">
        <v>17634</v>
      </c>
      <c r="G183" s="32"/>
      <c r="H183" s="32"/>
      <c r="I183" s="32">
        <v>17634</v>
      </c>
      <c r="J183" s="32">
        <f>D183-I183</f>
        <v>0</v>
      </c>
      <c r="K183" s="32">
        <f>E183-I183</f>
        <v>0</v>
      </c>
    </row>
    <row r="184" spans="1:11">
      <c r="A184" s="115"/>
      <c r="B184" s="88"/>
      <c r="C184" s="31"/>
      <c r="D184" s="32"/>
      <c r="E184" s="32"/>
      <c r="F184" s="32"/>
      <c r="G184" s="32"/>
      <c r="H184" s="32"/>
      <c r="I184" s="32"/>
      <c r="J184" s="32"/>
      <c r="K184" s="32"/>
    </row>
    <row r="185" spans="1:11" s="94" customFormat="1">
      <c r="A185" s="45" t="s">
        <v>167</v>
      </c>
      <c r="B185" s="44"/>
      <c r="C185" s="37" t="s">
        <v>168</v>
      </c>
      <c r="D185" s="38">
        <f t="shared" ref="D185:K185" si="53">D186+D218</f>
        <v>2157393.84</v>
      </c>
      <c r="E185" s="38">
        <f>E186+E218</f>
        <v>2157393.84</v>
      </c>
      <c r="F185" s="38">
        <f>F186+F218</f>
        <v>2067889.8800000001</v>
      </c>
      <c r="G185" s="38">
        <f>G186+G218</f>
        <v>0</v>
      </c>
      <c r="H185" s="38">
        <f>H186+H218</f>
        <v>0</v>
      </c>
      <c r="I185" s="38">
        <f t="shared" si="53"/>
        <v>2067889.8800000001</v>
      </c>
      <c r="J185" s="38">
        <f t="shared" si="53"/>
        <v>89503.960000000036</v>
      </c>
      <c r="K185" s="38">
        <f t="shared" si="53"/>
        <v>89503.960000000036</v>
      </c>
    </row>
    <row r="186" spans="1:11" s="94" customFormat="1" ht="84" customHeight="1">
      <c r="A186" s="129" t="s">
        <v>165</v>
      </c>
      <c r="B186" s="44"/>
      <c r="C186" s="37"/>
      <c r="D186" s="38">
        <f>D187+D197+D206+D208+D210</f>
        <v>1625989.35</v>
      </c>
      <c r="E186" s="38">
        <f t="shared" ref="E186:K186" si="54">E187+E197+E206+E208+E210</f>
        <v>1625989.35</v>
      </c>
      <c r="F186" s="38">
        <f t="shared" si="54"/>
        <v>1608235.3900000001</v>
      </c>
      <c r="G186" s="38">
        <f t="shared" si="54"/>
        <v>0</v>
      </c>
      <c r="H186" s="38">
        <f t="shared" si="54"/>
        <v>0</v>
      </c>
      <c r="I186" s="38">
        <f t="shared" si="54"/>
        <v>1608235.3900000001</v>
      </c>
      <c r="J186" s="38">
        <f t="shared" si="54"/>
        <v>17753.960000000032</v>
      </c>
      <c r="K186" s="38">
        <f t="shared" si="54"/>
        <v>17753.960000000032</v>
      </c>
    </row>
    <row r="187" spans="1:11" s="99" customFormat="1">
      <c r="A187" s="113" t="s">
        <v>154</v>
      </c>
      <c r="B187" s="98"/>
      <c r="C187" s="46"/>
      <c r="D187" s="47">
        <f t="shared" ref="D187:K187" si="55">D188+D193+D196</f>
        <v>919056.39</v>
      </c>
      <c r="E187" s="47">
        <f t="shared" si="55"/>
        <v>919056.39</v>
      </c>
      <c r="F187" s="47">
        <f t="shared" si="55"/>
        <v>914306.39</v>
      </c>
      <c r="G187" s="47">
        <f t="shared" si="55"/>
        <v>0</v>
      </c>
      <c r="H187" s="47">
        <f t="shared" si="55"/>
        <v>0</v>
      </c>
      <c r="I187" s="47">
        <f t="shared" si="55"/>
        <v>914306.39</v>
      </c>
      <c r="J187" s="47">
        <f t="shared" si="55"/>
        <v>4750</v>
      </c>
      <c r="K187" s="47">
        <f t="shared" si="55"/>
        <v>4750</v>
      </c>
    </row>
    <row r="188" spans="1:11">
      <c r="A188" s="30" t="s">
        <v>25</v>
      </c>
      <c r="B188" s="92"/>
      <c r="C188" s="31" t="s">
        <v>226</v>
      </c>
      <c r="D188" s="32">
        <f>853145-15518-162197.61</f>
        <v>675429.39</v>
      </c>
      <c r="E188" s="32">
        <f>853145-15518-162197.61</f>
        <v>675429.39</v>
      </c>
      <c r="F188" s="32">
        <v>675429.39</v>
      </c>
      <c r="G188" s="32"/>
      <c r="H188" s="32"/>
      <c r="I188" s="32">
        <v>675429.39</v>
      </c>
      <c r="J188" s="32">
        <f>D188-I188</f>
        <v>0</v>
      </c>
      <c r="K188" s="32">
        <f>E188-I188</f>
        <v>0</v>
      </c>
    </row>
    <row r="189" spans="1:11" ht="22.5" hidden="1">
      <c r="A189" s="39" t="s">
        <v>26</v>
      </c>
      <c r="B189" s="88"/>
      <c r="C189" s="31" t="s">
        <v>108</v>
      </c>
      <c r="D189" s="32"/>
      <c r="E189" s="32"/>
      <c r="F189" s="32"/>
      <c r="G189" s="32"/>
      <c r="H189" s="32"/>
      <c r="I189" s="32"/>
      <c r="J189" s="32">
        <f>D189-I189</f>
        <v>0</v>
      </c>
      <c r="K189" s="32">
        <f>E189-I189</f>
        <v>0</v>
      </c>
    </row>
    <row r="190" spans="1:11" ht="22.5">
      <c r="A190" s="39" t="s">
        <v>26</v>
      </c>
      <c r="B190" s="88"/>
      <c r="C190" s="31" t="s">
        <v>225</v>
      </c>
      <c r="D190" s="32">
        <f>2000-2000</f>
        <v>0</v>
      </c>
      <c r="E190" s="32">
        <f>2000-2000</f>
        <v>0</v>
      </c>
      <c r="F190" s="32">
        <v>0</v>
      </c>
      <c r="G190" s="32"/>
      <c r="H190" s="32"/>
      <c r="I190" s="32">
        <v>0</v>
      </c>
      <c r="J190" s="32">
        <f>D190-I190</f>
        <v>0</v>
      </c>
      <c r="K190" s="32">
        <f>E190-I190</f>
        <v>0</v>
      </c>
    </row>
    <row r="191" spans="1:11" ht="22.5">
      <c r="A191" s="39" t="s">
        <v>27</v>
      </c>
      <c r="B191" s="88"/>
      <c r="C191" s="31" t="s">
        <v>227</v>
      </c>
      <c r="D191" s="32">
        <f>3750+4750</f>
        <v>8500</v>
      </c>
      <c r="E191" s="32">
        <f>3750+4750</f>
        <v>8500</v>
      </c>
      <c r="F191" s="32">
        <v>3750</v>
      </c>
      <c r="G191" s="32"/>
      <c r="H191" s="32"/>
      <c r="I191" s="32">
        <v>3750</v>
      </c>
      <c r="J191" s="32">
        <f>D191-I191</f>
        <v>4750</v>
      </c>
      <c r="K191" s="32">
        <f>E191-I191</f>
        <v>4750</v>
      </c>
    </row>
    <row r="192" spans="1:11" hidden="1">
      <c r="A192" s="39" t="s">
        <v>126</v>
      </c>
      <c r="B192" s="88"/>
      <c r="C192" s="31" t="s">
        <v>132</v>
      </c>
      <c r="D192" s="32">
        <v>0</v>
      </c>
      <c r="E192" s="32">
        <v>0</v>
      </c>
      <c r="F192" s="32">
        <v>0</v>
      </c>
      <c r="G192" s="32"/>
      <c r="H192" s="32"/>
      <c r="I192" s="32">
        <v>0</v>
      </c>
      <c r="J192" s="32">
        <f>D192-I192</f>
        <v>0</v>
      </c>
      <c r="K192" s="32">
        <f>E192-I192</f>
        <v>0</v>
      </c>
    </row>
    <row r="193" spans="1:11" s="93" customFormat="1">
      <c r="A193" s="40" t="s">
        <v>156</v>
      </c>
      <c r="B193" s="92"/>
      <c r="C193" s="34"/>
      <c r="D193" s="35">
        <f t="shared" ref="D193:K193" si="56">SUM(D189:D192)</f>
        <v>8500</v>
      </c>
      <c r="E193" s="35">
        <f t="shared" si="56"/>
        <v>8500</v>
      </c>
      <c r="F193" s="35">
        <f t="shared" si="56"/>
        <v>3750</v>
      </c>
      <c r="G193" s="35">
        <f t="shared" si="56"/>
        <v>0</v>
      </c>
      <c r="H193" s="35">
        <f t="shared" si="56"/>
        <v>0</v>
      </c>
      <c r="I193" s="35">
        <f t="shared" si="56"/>
        <v>3750</v>
      </c>
      <c r="J193" s="35">
        <f t="shared" si="56"/>
        <v>4750</v>
      </c>
      <c r="K193" s="35">
        <f t="shared" si="56"/>
        <v>4750</v>
      </c>
    </row>
    <row r="194" spans="1:11">
      <c r="A194" s="65" t="s">
        <v>109</v>
      </c>
      <c r="B194" s="88"/>
      <c r="C194" s="31" t="s">
        <v>228</v>
      </c>
      <c r="D194" s="32">
        <f>187692-3414-12993</f>
        <v>171285</v>
      </c>
      <c r="E194" s="32">
        <f>187692-3414-12993</f>
        <v>171285</v>
      </c>
      <c r="F194" s="32">
        <v>171285</v>
      </c>
      <c r="G194" s="32"/>
      <c r="H194" s="32"/>
      <c r="I194" s="32">
        <v>171285</v>
      </c>
      <c r="J194" s="32">
        <f>D194-I194</f>
        <v>0</v>
      </c>
      <c r="K194" s="32">
        <f>E194-I194</f>
        <v>0</v>
      </c>
    </row>
    <row r="195" spans="1:11">
      <c r="A195" s="65" t="s">
        <v>110</v>
      </c>
      <c r="B195" s="88"/>
      <c r="C195" s="31" t="s">
        <v>229</v>
      </c>
      <c r="D195" s="32">
        <f>69958-1272-4844</f>
        <v>63842</v>
      </c>
      <c r="E195" s="32">
        <f>69958-1272-4844</f>
        <v>63842</v>
      </c>
      <c r="F195" s="32">
        <v>63842</v>
      </c>
      <c r="G195" s="32"/>
      <c r="H195" s="32"/>
      <c r="I195" s="32">
        <v>63842</v>
      </c>
      <c r="J195" s="32">
        <f>D195-I195</f>
        <v>0</v>
      </c>
      <c r="K195" s="32">
        <f>E195-I195</f>
        <v>0</v>
      </c>
    </row>
    <row r="196" spans="1:11" s="93" customFormat="1">
      <c r="A196" s="115" t="s">
        <v>155</v>
      </c>
      <c r="B196" s="92"/>
      <c r="C196" s="34"/>
      <c r="D196" s="35">
        <f t="shared" ref="D196:K196" si="57">SUM(D194:D195)</f>
        <v>235127</v>
      </c>
      <c r="E196" s="35">
        <f>SUM(E194:E195)</f>
        <v>235127</v>
      </c>
      <c r="F196" s="35">
        <f>SUM(F194:F195)</f>
        <v>235127</v>
      </c>
      <c r="G196" s="35">
        <f t="shared" si="57"/>
        <v>0</v>
      </c>
      <c r="H196" s="35">
        <f t="shared" si="57"/>
        <v>0</v>
      </c>
      <c r="I196" s="35">
        <f t="shared" si="57"/>
        <v>235127</v>
      </c>
      <c r="J196" s="35">
        <f t="shared" si="57"/>
        <v>0</v>
      </c>
      <c r="K196" s="35">
        <f t="shared" si="57"/>
        <v>0</v>
      </c>
    </row>
    <row r="197" spans="1:11" s="93" customFormat="1">
      <c r="A197" s="115" t="s">
        <v>146</v>
      </c>
      <c r="B197" s="92"/>
      <c r="C197" s="34"/>
      <c r="D197" s="35">
        <f t="shared" ref="D197:K197" si="58">D198+D199+D203+D204+D205</f>
        <v>665314.96000000008</v>
      </c>
      <c r="E197" s="35">
        <f t="shared" si="58"/>
        <v>665314.96000000008</v>
      </c>
      <c r="F197" s="35">
        <f t="shared" si="58"/>
        <v>652311</v>
      </c>
      <c r="G197" s="35">
        <f t="shared" si="58"/>
        <v>0</v>
      </c>
      <c r="H197" s="35">
        <f t="shared" si="58"/>
        <v>0</v>
      </c>
      <c r="I197" s="35">
        <f t="shared" si="58"/>
        <v>652311</v>
      </c>
      <c r="J197" s="35">
        <f t="shared" si="58"/>
        <v>13003.960000000032</v>
      </c>
      <c r="K197" s="35">
        <f t="shared" si="58"/>
        <v>13003.960000000032</v>
      </c>
    </row>
    <row r="198" spans="1:11">
      <c r="A198" s="30" t="s">
        <v>15</v>
      </c>
      <c r="B198" s="88"/>
      <c r="C198" s="31" t="s">
        <v>230</v>
      </c>
      <c r="D198" s="32">
        <f>8148-679</f>
        <v>7469</v>
      </c>
      <c r="E198" s="32">
        <f>8148-679</f>
        <v>7469</v>
      </c>
      <c r="F198" s="32">
        <v>7469</v>
      </c>
      <c r="G198" s="32"/>
      <c r="H198" s="32"/>
      <c r="I198" s="32">
        <v>7469</v>
      </c>
      <c r="J198" s="32">
        <f>D198-I198</f>
        <v>0</v>
      </c>
      <c r="K198" s="32">
        <f>E198-I198</f>
        <v>0</v>
      </c>
    </row>
    <row r="199" spans="1:11">
      <c r="A199" s="30" t="s">
        <v>16</v>
      </c>
      <c r="B199" s="88"/>
      <c r="C199" s="31" t="s">
        <v>231</v>
      </c>
      <c r="D199" s="32">
        <f>2872.8+4864</f>
        <v>7736.8</v>
      </c>
      <c r="E199" s="32">
        <f>2872.8+4864</f>
        <v>7736.8</v>
      </c>
      <c r="F199" s="32">
        <v>4864</v>
      </c>
      <c r="G199" s="32"/>
      <c r="H199" s="32"/>
      <c r="I199" s="32">
        <v>4864</v>
      </c>
      <c r="J199" s="32">
        <f>D199-I199</f>
        <v>2872.8</v>
      </c>
      <c r="K199" s="32">
        <f>E199-I199</f>
        <v>2872.8</v>
      </c>
    </row>
    <row r="200" spans="1:11">
      <c r="A200" s="30" t="s">
        <v>31</v>
      </c>
      <c r="B200" s="88"/>
      <c r="C200" s="31" t="s">
        <v>232</v>
      </c>
      <c r="D200" s="32">
        <f>10131.16+518803</f>
        <v>528934.16</v>
      </c>
      <c r="E200" s="32">
        <f>10131.16+518803</f>
        <v>528934.16</v>
      </c>
      <c r="F200" s="32">
        <v>518803</v>
      </c>
      <c r="G200" s="32"/>
      <c r="H200" s="32"/>
      <c r="I200" s="32">
        <v>518803</v>
      </c>
      <c r="J200" s="32">
        <f>D200-I200</f>
        <v>10131.160000000033</v>
      </c>
      <c r="K200" s="32">
        <f>E200-I200</f>
        <v>10131.160000000033</v>
      </c>
    </row>
    <row r="201" spans="1:11">
      <c r="A201" s="30" t="s">
        <v>28</v>
      </c>
      <c r="B201" s="88"/>
      <c r="C201" s="31" t="s">
        <v>233</v>
      </c>
      <c r="D201" s="32">
        <f>44873-3738-18698</f>
        <v>22437</v>
      </c>
      <c r="E201" s="32">
        <f>44873-3738-18698</f>
        <v>22437</v>
      </c>
      <c r="F201" s="32">
        <v>22437</v>
      </c>
      <c r="G201" s="32"/>
      <c r="H201" s="32"/>
      <c r="I201" s="32">
        <v>22437</v>
      </c>
      <c r="J201" s="32">
        <f>D201-I201</f>
        <v>0</v>
      </c>
      <c r="K201" s="32">
        <f>E201-I201</f>
        <v>0</v>
      </c>
    </row>
    <row r="202" spans="1:11">
      <c r="A202" s="30" t="s">
        <v>29</v>
      </c>
      <c r="B202" s="88"/>
      <c r="C202" s="31" t="s">
        <v>234</v>
      </c>
      <c r="D202" s="32">
        <f>7765+3738-647</f>
        <v>10856</v>
      </c>
      <c r="E202" s="32">
        <f>7765+3738-647</f>
        <v>10856</v>
      </c>
      <c r="F202" s="32">
        <v>10856</v>
      </c>
      <c r="G202" s="32"/>
      <c r="H202" s="32"/>
      <c r="I202" s="32">
        <v>10856</v>
      </c>
      <c r="J202" s="32">
        <f>D202-I202</f>
        <v>0</v>
      </c>
      <c r="K202" s="32">
        <f>E202-I202</f>
        <v>0</v>
      </c>
    </row>
    <row r="203" spans="1:11" s="93" customFormat="1">
      <c r="A203" s="113" t="s">
        <v>17</v>
      </c>
      <c r="B203" s="92"/>
      <c r="C203" s="34"/>
      <c r="D203" s="35">
        <f t="shared" ref="D203:K203" si="59">SUM(D200:D202)</f>
        <v>562227.16</v>
      </c>
      <c r="E203" s="35">
        <f>SUM(E200:E202)</f>
        <v>562227.16</v>
      </c>
      <c r="F203" s="35">
        <f>SUM(F200:F202)</f>
        <v>552096</v>
      </c>
      <c r="G203" s="35">
        <f t="shared" si="59"/>
        <v>0</v>
      </c>
      <c r="H203" s="35">
        <f t="shared" si="59"/>
        <v>0</v>
      </c>
      <c r="I203" s="35">
        <f t="shared" si="59"/>
        <v>552096</v>
      </c>
      <c r="J203" s="35">
        <f t="shared" si="59"/>
        <v>10131.160000000033</v>
      </c>
      <c r="K203" s="35">
        <f t="shared" si="59"/>
        <v>10131.160000000033</v>
      </c>
    </row>
    <row r="204" spans="1:11">
      <c r="A204" s="30" t="s">
        <v>18</v>
      </c>
      <c r="B204" s="88"/>
      <c r="C204" s="31" t="s">
        <v>235</v>
      </c>
      <c r="D204" s="32">
        <v>45133</v>
      </c>
      <c r="E204" s="32">
        <v>45133</v>
      </c>
      <c r="F204" s="32">
        <v>45133</v>
      </c>
      <c r="G204" s="32"/>
      <c r="H204" s="32"/>
      <c r="I204" s="32">
        <v>45133</v>
      </c>
      <c r="J204" s="32">
        <f>D204-I204</f>
        <v>0</v>
      </c>
      <c r="K204" s="32">
        <f>E204-I204</f>
        <v>0</v>
      </c>
    </row>
    <row r="205" spans="1:11">
      <c r="A205" s="30" t="s">
        <v>19</v>
      </c>
      <c r="B205" s="88"/>
      <c r="C205" s="31" t="s">
        <v>236</v>
      </c>
      <c r="D205" s="32">
        <v>42749</v>
      </c>
      <c r="E205" s="32">
        <v>42749</v>
      </c>
      <c r="F205" s="32">
        <v>42749</v>
      </c>
      <c r="G205" s="32"/>
      <c r="H205" s="32"/>
      <c r="I205" s="32">
        <v>42749</v>
      </c>
      <c r="J205" s="32">
        <f>D205-I205</f>
        <v>0</v>
      </c>
      <c r="K205" s="32">
        <f>E205-I205</f>
        <v>0</v>
      </c>
    </row>
    <row r="206" spans="1:11">
      <c r="A206" s="30" t="s">
        <v>20</v>
      </c>
      <c r="B206" s="88"/>
      <c r="C206" s="31" t="s">
        <v>237</v>
      </c>
      <c r="D206" s="32">
        <v>12420</v>
      </c>
      <c r="E206" s="32">
        <v>12420</v>
      </c>
      <c r="F206" s="32">
        <v>12420</v>
      </c>
      <c r="G206" s="32"/>
      <c r="H206" s="32"/>
      <c r="I206" s="32">
        <v>12420</v>
      </c>
      <c r="J206" s="32">
        <f>D206-I206</f>
        <v>0</v>
      </c>
      <c r="K206" s="32">
        <f>E206-I206</f>
        <v>0</v>
      </c>
    </row>
    <row r="207" spans="1:11" hidden="1">
      <c r="A207" s="73" t="s">
        <v>21</v>
      </c>
      <c r="B207" s="88"/>
      <c r="C207" s="31" t="s">
        <v>133</v>
      </c>
      <c r="D207" s="32"/>
      <c r="E207" s="32"/>
      <c r="F207" s="32"/>
      <c r="G207" s="32"/>
      <c r="H207" s="32"/>
      <c r="I207" s="32"/>
      <c r="J207" s="32">
        <f>D207-I207</f>
        <v>0</v>
      </c>
      <c r="K207" s="32">
        <f>E207-I207</f>
        <v>0</v>
      </c>
    </row>
    <row r="208" spans="1:11">
      <c r="A208" s="115" t="s">
        <v>164</v>
      </c>
      <c r="B208" s="88"/>
      <c r="C208" s="31" t="s">
        <v>238</v>
      </c>
      <c r="D208" s="32">
        <v>8994</v>
      </c>
      <c r="E208" s="32">
        <v>8994</v>
      </c>
      <c r="F208" s="32">
        <v>8994</v>
      </c>
      <c r="G208" s="32"/>
      <c r="H208" s="32"/>
      <c r="I208" s="32">
        <v>8994</v>
      </c>
      <c r="J208" s="32">
        <f>D208-I208</f>
        <v>0</v>
      </c>
      <c r="K208" s="32">
        <f>E208-I208</f>
        <v>0</v>
      </c>
    </row>
    <row r="209" spans="1:11">
      <c r="A209" s="115"/>
      <c r="B209" s="88"/>
      <c r="C209" s="31"/>
      <c r="D209" s="32"/>
      <c r="E209" s="32"/>
      <c r="F209" s="32"/>
      <c r="G209" s="32"/>
      <c r="H209" s="32"/>
      <c r="I209" s="32"/>
      <c r="J209" s="32"/>
      <c r="K209" s="32"/>
    </row>
    <row r="210" spans="1:11" s="99" customFormat="1">
      <c r="A210" s="137" t="s">
        <v>289</v>
      </c>
      <c r="B210" s="98"/>
      <c r="C210" s="46"/>
      <c r="D210" s="47">
        <f t="shared" ref="D210:K210" si="60">D211+D214</f>
        <v>20204</v>
      </c>
      <c r="E210" s="47">
        <f t="shared" si="60"/>
        <v>20204</v>
      </c>
      <c r="F210" s="47">
        <f t="shared" si="60"/>
        <v>20204</v>
      </c>
      <c r="G210" s="47">
        <f t="shared" si="60"/>
        <v>0</v>
      </c>
      <c r="H210" s="47">
        <f t="shared" si="60"/>
        <v>0</v>
      </c>
      <c r="I210" s="47">
        <f t="shared" si="60"/>
        <v>20204</v>
      </c>
      <c r="J210" s="47">
        <f t="shared" si="60"/>
        <v>0</v>
      </c>
      <c r="K210" s="47">
        <f t="shared" si="60"/>
        <v>0</v>
      </c>
    </row>
    <row r="211" spans="1:11">
      <c r="A211" s="30" t="s">
        <v>25</v>
      </c>
      <c r="B211" s="92"/>
      <c r="C211" s="31" t="s">
        <v>285</v>
      </c>
      <c r="D211" s="32">
        <v>15518</v>
      </c>
      <c r="E211" s="32">
        <v>15518</v>
      </c>
      <c r="F211" s="32">
        <v>15518</v>
      </c>
      <c r="G211" s="32"/>
      <c r="H211" s="32"/>
      <c r="I211" s="32">
        <v>15518</v>
      </c>
      <c r="J211" s="32">
        <f>D211-I211</f>
        <v>0</v>
      </c>
      <c r="K211" s="32">
        <f>E211-I211</f>
        <v>0</v>
      </c>
    </row>
    <row r="212" spans="1:11">
      <c r="A212" s="65" t="s">
        <v>109</v>
      </c>
      <c r="B212" s="88"/>
      <c r="C212" s="31" t="s">
        <v>286</v>
      </c>
      <c r="D212" s="32">
        <v>3414</v>
      </c>
      <c r="E212" s="32">
        <v>3414</v>
      </c>
      <c r="F212" s="32">
        <v>3414</v>
      </c>
      <c r="G212" s="32"/>
      <c r="H212" s="32"/>
      <c r="I212" s="32">
        <v>3414</v>
      </c>
      <c r="J212" s="32">
        <f>D212-I212</f>
        <v>0</v>
      </c>
      <c r="K212" s="32">
        <f>E212-I212</f>
        <v>0</v>
      </c>
    </row>
    <row r="213" spans="1:11">
      <c r="A213" s="65" t="s">
        <v>110</v>
      </c>
      <c r="B213" s="88"/>
      <c r="C213" s="31" t="s">
        <v>287</v>
      </c>
      <c r="D213" s="32">
        <v>1272</v>
      </c>
      <c r="E213" s="32">
        <v>1272</v>
      </c>
      <c r="F213" s="32">
        <v>1272</v>
      </c>
      <c r="G213" s="32"/>
      <c r="H213" s="32"/>
      <c r="I213" s="32">
        <v>1272</v>
      </c>
      <c r="J213" s="32">
        <f>D213-I213</f>
        <v>0</v>
      </c>
      <c r="K213" s="32">
        <f>E213-I213</f>
        <v>0</v>
      </c>
    </row>
    <row r="214" spans="1:11" s="99" customFormat="1">
      <c r="A214" s="115" t="s">
        <v>155</v>
      </c>
      <c r="B214" s="92"/>
      <c r="C214" s="34"/>
      <c r="D214" s="47">
        <f t="shared" ref="D214:K214" si="61">SUM(D212:D213)</f>
        <v>4686</v>
      </c>
      <c r="E214" s="47">
        <f t="shared" si="61"/>
        <v>4686</v>
      </c>
      <c r="F214" s="47">
        <f t="shared" si="61"/>
        <v>4686</v>
      </c>
      <c r="G214" s="47">
        <f t="shared" si="61"/>
        <v>0</v>
      </c>
      <c r="H214" s="47">
        <f t="shared" si="61"/>
        <v>0</v>
      </c>
      <c r="I214" s="47">
        <f t="shared" si="61"/>
        <v>4686</v>
      </c>
      <c r="J214" s="47">
        <f t="shared" si="61"/>
        <v>0</v>
      </c>
      <c r="K214" s="47">
        <f t="shared" si="61"/>
        <v>0</v>
      </c>
    </row>
    <row r="215" spans="1:11" hidden="1">
      <c r="A215" s="65" t="s">
        <v>110</v>
      </c>
      <c r="B215" s="88"/>
      <c r="C215" s="31" t="s">
        <v>284</v>
      </c>
      <c r="D215" s="32">
        <v>1272</v>
      </c>
      <c r="E215" s="32">
        <v>1272</v>
      </c>
      <c r="F215" s="32"/>
      <c r="G215" s="32"/>
      <c r="H215" s="32"/>
      <c r="I215" s="32"/>
      <c r="J215" s="32">
        <f>D215-I215</f>
        <v>1272</v>
      </c>
      <c r="K215" s="32">
        <f>E215-I215</f>
        <v>1272</v>
      </c>
    </row>
    <row r="216" spans="1:11" s="93" customFormat="1" hidden="1">
      <c r="A216" s="115" t="s">
        <v>155</v>
      </c>
      <c r="B216" s="92"/>
      <c r="C216" s="34"/>
      <c r="D216" s="35">
        <f t="shared" ref="D216:K216" si="62">SUM(D214:D215)</f>
        <v>5958</v>
      </c>
      <c r="E216" s="35">
        <f>SUM(E214:E215)</f>
        <v>5958</v>
      </c>
      <c r="F216" s="35">
        <f>SUM(F214:F215)</f>
        <v>4686</v>
      </c>
      <c r="G216" s="35">
        <f t="shared" si="62"/>
        <v>0</v>
      </c>
      <c r="H216" s="35">
        <f t="shared" si="62"/>
        <v>0</v>
      </c>
      <c r="I216" s="35">
        <f t="shared" si="62"/>
        <v>4686</v>
      </c>
      <c r="J216" s="35">
        <f t="shared" si="62"/>
        <v>1272</v>
      </c>
      <c r="K216" s="35">
        <f t="shared" si="62"/>
        <v>1272</v>
      </c>
    </row>
    <row r="217" spans="1:11" s="94" customFormat="1">
      <c r="A217" s="36"/>
      <c r="B217" s="44"/>
      <c r="C217" s="37"/>
      <c r="D217" s="38"/>
      <c r="E217" s="38"/>
      <c r="F217" s="38"/>
      <c r="G217" s="38"/>
      <c r="H217" s="38"/>
      <c r="I217" s="38"/>
      <c r="J217" s="38"/>
      <c r="K217" s="38"/>
    </row>
    <row r="218" spans="1:11" s="94" customFormat="1" ht="84.75" customHeight="1">
      <c r="A218" s="129" t="s">
        <v>166</v>
      </c>
      <c r="B218" s="44"/>
      <c r="C218" s="37"/>
      <c r="D218" s="38">
        <f>D219+D227+D233+D235+D239+D237</f>
        <v>531404.49</v>
      </c>
      <c r="E218" s="38">
        <f t="shared" ref="E218:K218" si="63">E219+E227+E233+E235+E239+E237</f>
        <v>531404.49</v>
      </c>
      <c r="F218" s="38">
        <f t="shared" si="63"/>
        <v>459654.49</v>
      </c>
      <c r="G218" s="38">
        <f t="shared" si="63"/>
        <v>0</v>
      </c>
      <c r="H218" s="38">
        <f t="shared" si="63"/>
        <v>0</v>
      </c>
      <c r="I218" s="38">
        <f t="shared" si="63"/>
        <v>459654.49</v>
      </c>
      <c r="J218" s="38">
        <f t="shared" si="63"/>
        <v>71750</v>
      </c>
      <c r="K218" s="38">
        <f t="shared" si="63"/>
        <v>71750</v>
      </c>
    </row>
    <row r="219" spans="1:11">
      <c r="A219" s="113" t="s">
        <v>154</v>
      </c>
      <c r="B219" s="88"/>
      <c r="C219" s="31"/>
      <c r="D219" s="32">
        <f>D220+D223+D226</f>
        <v>416757.54</v>
      </c>
      <c r="E219" s="32">
        <f>E220+E223+E226</f>
        <v>416757.54</v>
      </c>
      <c r="F219" s="32">
        <f>F220+F223+F226</f>
        <v>416757.54</v>
      </c>
      <c r="G219" s="32"/>
      <c r="H219" s="32"/>
      <c r="I219" s="32">
        <f>I220+I223+I226</f>
        <v>416757.54</v>
      </c>
      <c r="J219" s="32">
        <f>J220+J223+J226</f>
        <v>0</v>
      </c>
      <c r="K219" s="32">
        <f>K220+K223+K226</f>
        <v>0</v>
      </c>
    </row>
    <row r="220" spans="1:11">
      <c r="A220" s="30" t="s">
        <v>25</v>
      </c>
      <c r="B220" s="92"/>
      <c r="C220" s="31" t="s">
        <v>239</v>
      </c>
      <c r="D220" s="32">
        <f>325212-7759+952.54</f>
        <v>318405.53999999998</v>
      </c>
      <c r="E220" s="32">
        <f>325212-7759+952.54</f>
        <v>318405.53999999998</v>
      </c>
      <c r="F220" s="32">
        <v>318405.53999999998</v>
      </c>
      <c r="G220" s="32"/>
      <c r="H220" s="32"/>
      <c r="I220" s="32">
        <v>318405.53999999998</v>
      </c>
      <c r="J220" s="32">
        <f>D220-I220</f>
        <v>0</v>
      </c>
      <c r="K220" s="32">
        <f>E220-I220</f>
        <v>0</v>
      </c>
    </row>
    <row r="221" spans="1:11" ht="22.5">
      <c r="A221" s="39" t="s">
        <v>26</v>
      </c>
      <c r="B221" s="88"/>
      <c r="C221" s="31" t="s">
        <v>240</v>
      </c>
      <c r="D221" s="32">
        <v>0</v>
      </c>
      <c r="E221" s="32">
        <v>0</v>
      </c>
      <c r="F221" s="32"/>
      <c r="G221" s="32"/>
      <c r="H221" s="32"/>
      <c r="I221" s="32"/>
      <c r="J221" s="32">
        <f>D221-I221</f>
        <v>0</v>
      </c>
      <c r="K221" s="32">
        <f>E221-I221</f>
        <v>0</v>
      </c>
    </row>
    <row r="222" spans="1:11" ht="22.5">
      <c r="A222" s="39" t="s">
        <v>27</v>
      </c>
      <c r="B222" s="88"/>
      <c r="C222" s="31" t="s">
        <v>241</v>
      </c>
      <c r="D222" s="32">
        <f>2000+250</f>
        <v>2250</v>
      </c>
      <c r="E222" s="32">
        <f>2000+250</f>
        <v>2250</v>
      </c>
      <c r="F222" s="32">
        <v>2250</v>
      </c>
      <c r="G222" s="32"/>
      <c r="H222" s="32"/>
      <c r="I222" s="32">
        <v>2250</v>
      </c>
      <c r="J222" s="32">
        <f>D222-I222</f>
        <v>0</v>
      </c>
      <c r="K222" s="32">
        <f>E222-I222</f>
        <v>0</v>
      </c>
    </row>
    <row r="223" spans="1:11" s="100" customFormat="1">
      <c r="A223" s="40" t="s">
        <v>156</v>
      </c>
      <c r="B223" s="92"/>
      <c r="C223" s="34"/>
      <c r="D223" s="47">
        <f>SUM(D221:D222)</f>
        <v>2250</v>
      </c>
      <c r="E223" s="47">
        <f>SUM(E221:E222)</f>
        <v>2250</v>
      </c>
      <c r="F223" s="47">
        <f>SUM(F221:F222)</f>
        <v>2250</v>
      </c>
      <c r="G223" s="47"/>
      <c r="H223" s="47"/>
      <c r="I223" s="47">
        <f>SUM(I221:I222)</f>
        <v>2250</v>
      </c>
      <c r="J223" s="47">
        <f>SUM(J221:J222)</f>
        <v>0</v>
      </c>
      <c r="K223" s="47">
        <f>SUM(K221:K222)</f>
        <v>0</v>
      </c>
    </row>
    <row r="224" spans="1:11">
      <c r="A224" s="65" t="s">
        <v>109</v>
      </c>
      <c r="B224" s="88"/>
      <c r="C224" s="31" t="s">
        <v>242</v>
      </c>
      <c r="D224" s="32">
        <f>71547-1629</f>
        <v>69918</v>
      </c>
      <c r="E224" s="32">
        <f>71547-1629</f>
        <v>69918</v>
      </c>
      <c r="F224" s="32">
        <v>69918</v>
      </c>
      <c r="G224" s="32"/>
      <c r="H224" s="32"/>
      <c r="I224" s="32">
        <v>69918</v>
      </c>
      <c r="J224" s="32">
        <f>D224-I224</f>
        <v>0</v>
      </c>
      <c r="K224" s="32">
        <f>E224-I224</f>
        <v>0</v>
      </c>
    </row>
    <row r="225" spans="1:11">
      <c r="A225" s="65" t="s">
        <v>110</v>
      </c>
      <c r="B225" s="88"/>
      <c r="C225" s="31" t="s">
        <v>243</v>
      </c>
      <c r="D225" s="32">
        <f>26667-483</f>
        <v>26184</v>
      </c>
      <c r="E225" s="32">
        <f>26667-483</f>
        <v>26184</v>
      </c>
      <c r="F225" s="32">
        <v>26184</v>
      </c>
      <c r="G225" s="32"/>
      <c r="H225" s="32"/>
      <c r="I225" s="32">
        <v>26184</v>
      </c>
      <c r="J225" s="32">
        <f>D225-I225</f>
        <v>0</v>
      </c>
      <c r="K225" s="32">
        <f>E225-I225</f>
        <v>0</v>
      </c>
    </row>
    <row r="226" spans="1:11" s="99" customFormat="1">
      <c r="A226" s="115" t="s">
        <v>155</v>
      </c>
      <c r="B226" s="92"/>
      <c r="C226" s="34"/>
      <c r="D226" s="47">
        <f>SUM(D224:D225)</f>
        <v>96102</v>
      </c>
      <c r="E226" s="47">
        <f>SUM(E224:E225)</f>
        <v>96102</v>
      </c>
      <c r="F226" s="47">
        <f>SUM(F224:F225)</f>
        <v>96102</v>
      </c>
      <c r="G226" s="47"/>
      <c r="H226" s="47"/>
      <c r="I226" s="47">
        <f>SUM(I224:I225)</f>
        <v>96102</v>
      </c>
      <c r="J226" s="47">
        <f>SUM(J224:J225)</f>
        <v>0</v>
      </c>
      <c r="K226" s="47">
        <f>SUM(K224:K225)</f>
        <v>0</v>
      </c>
    </row>
    <row r="227" spans="1:11" s="99" customFormat="1">
      <c r="A227" s="115" t="s">
        <v>146</v>
      </c>
      <c r="B227" s="92"/>
      <c r="C227" s="34"/>
      <c r="D227" s="47">
        <f t="shared" ref="D227:K227" si="64">D228+D229+D232+D231</f>
        <v>15376</v>
      </c>
      <c r="E227" s="47">
        <f>E228+E229+E232+E231</f>
        <v>15376</v>
      </c>
      <c r="F227" s="47">
        <f>F228+F229+F232+F231</f>
        <v>15376</v>
      </c>
      <c r="G227" s="47"/>
      <c r="H227" s="47"/>
      <c r="I227" s="47">
        <f t="shared" si="64"/>
        <v>15376</v>
      </c>
      <c r="J227" s="47">
        <f t="shared" si="64"/>
        <v>0</v>
      </c>
      <c r="K227" s="47">
        <f t="shared" si="64"/>
        <v>0</v>
      </c>
    </row>
    <row r="228" spans="1:11">
      <c r="A228" s="30" t="s">
        <v>15</v>
      </c>
      <c r="B228" s="88"/>
      <c r="C228" s="31" t="s">
        <v>244</v>
      </c>
      <c r="D228" s="32">
        <f>500-250</f>
        <v>250</v>
      </c>
      <c r="E228" s="32">
        <f>500-250</f>
        <v>250</v>
      </c>
      <c r="F228" s="32">
        <v>250</v>
      </c>
      <c r="G228" s="32"/>
      <c r="H228" s="32"/>
      <c r="I228" s="32">
        <v>250</v>
      </c>
      <c r="J228" s="32">
        <f t="shared" ref="J228:J235" si="65">D228-I228</f>
        <v>0</v>
      </c>
      <c r="K228" s="32">
        <f t="shared" ref="K228:K235" si="66">E228-I228</f>
        <v>0</v>
      </c>
    </row>
    <row r="229" spans="1:11">
      <c r="A229" s="30" t="s">
        <v>16</v>
      </c>
      <c r="B229" s="88"/>
      <c r="C229" s="31" t="s">
        <v>245</v>
      </c>
      <c r="D229" s="32">
        <v>1664</v>
      </c>
      <c r="E229" s="32">
        <v>1664</v>
      </c>
      <c r="F229" s="32">
        <v>1664</v>
      </c>
      <c r="G229" s="32"/>
      <c r="H229" s="32"/>
      <c r="I229" s="32">
        <v>1664</v>
      </c>
      <c r="J229" s="32">
        <f t="shared" si="65"/>
        <v>0</v>
      </c>
      <c r="K229" s="32">
        <f t="shared" si="66"/>
        <v>0</v>
      </c>
    </row>
    <row r="230" spans="1:11" hidden="1">
      <c r="A230" s="30" t="s">
        <v>18</v>
      </c>
      <c r="B230" s="88"/>
      <c r="C230" s="31" t="s">
        <v>134</v>
      </c>
      <c r="D230" s="32">
        <v>0</v>
      </c>
      <c r="E230" s="32">
        <v>0</v>
      </c>
      <c r="F230" s="32">
        <v>0</v>
      </c>
      <c r="G230" s="32"/>
      <c r="H230" s="32"/>
      <c r="I230" s="32">
        <v>0</v>
      </c>
      <c r="J230" s="32">
        <f t="shared" si="65"/>
        <v>0</v>
      </c>
      <c r="K230" s="32">
        <f t="shared" si="66"/>
        <v>0</v>
      </c>
    </row>
    <row r="231" spans="1:11">
      <c r="A231" s="30" t="s">
        <v>18</v>
      </c>
      <c r="B231" s="88"/>
      <c r="C231" s="31" t="s">
        <v>288</v>
      </c>
      <c r="D231" s="32">
        <v>1000</v>
      </c>
      <c r="E231" s="32">
        <v>1000</v>
      </c>
      <c r="F231" s="32">
        <v>1000</v>
      </c>
      <c r="G231" s="32"/>
      <c r="H231" s="32"/>
      <c r="I231" s="32">
        <v>1000</v>
      </c>
      <c r="J231" s="32">
        <f t="shared" si="65"/>
        <v>0</v>
      </c>
      <c r="K231" s="32">
        <f t="shared" si="66"/>
        <v>0</v>
      </c>
    </row>
    <row r="232" spans="1:11">
      <c r="A232" s="30" t="s">
        <v>19</v>
      </c>
      <c r="B232" s="88"/>
      <c r="C232" s="31" t="s">
        <v>246</v>
      </c>
      <c r="D232" s="32">
        <f>14954-2492</f>
        <v>12462</v>
      </c>
      <c r="E232" s="32">
        <f>14954-2492</f>
        <v>12462</v>
      </c>
      <c r="F232" s="32">
        <v>12462</v>
      </c>
      <c r="G232" s="32"/>
      <c r="H232" s="32"/>
      <c r="I232" s="32">
        <v>12462</v>
      </c>
      <c r="J232" s="32">
        <f t="shared" si="65"/>
        <v>0</v>
      </c>
      <c r="K232" s="32">
        <f t="shared" si="66"/>
        <v>0</v>
      </c>
    </row>
    <row r="233" spans="1:11">
      <c r="A233" s="30" t="s">
        <v>20</v>
      </c>
      <c r="B233" s="88"/>
      <c r="C233" s="31" t="s">
        <v>247</v>
      </c>
      <c r="D233" s="32">
        <v>3500</v>
      </c>
      <c r="E233" s="32">
        <v>3500</v>
      </c>
      <c r="F233" s="32">
        <v>3500</v>
      </c>
      <c r="G233" s="32"/>
      <c r="H233" s="32"/>
      <c r="I233" s="32">
        <v>3500</v>
      </c>
      <c r="J233" s="32">
        <f t="shared" si="65"/>
        <v>0</v>
      </c>
      <c r="K233" s="32">
        <f t="shared" si="66"/>
        <v>0</v>
      </c>
    </row>
    <row r="234" spans="1:11" hidden="1">
      <c r="A234" s="73" t="s">
        <v>21</v>
      </c>
      <c r="B234" s="88"/>
      <c r="C234" s="31" t="s">
        <v>135</v>
      </c>
      <c r="D234" s="32"/>
      <c r="E234" s="32"/>
      <c r="F234" s="32"/>
      <c r="G234" s="32"/>
      <c r="H234" s="32"/>
      <c r="I234" s="32"/>
      <c r="J234" s="32">
        <f t="shared" si="65"/>
        <v>0</v>
      </c>
      <c r="K234" s="32">
        <f t="shared" si="66"/>
        <v>0</v>
      </c>
    </row>
    <row r="235" spans="1:11" ht="24">
      <c r="A235" s="41" t="s">
        <v>313</v>
      </c>
      <c r="B235" s="88"/>
      <c r="C235" s="31" t="s">
        <v>248</v>
      </c>
      <c r="D235" s="32">
        <f>11086-4021</f>
        <v>7065</v>
      </c>
      <c r="E235" s="32">
        <f>11086-4021</f>
        <v>7065</v>
      </c>
      <c r="F235" s="32">
        <v>7065</v>
      </c>
      <c r="G235" s="32"/>
      <c r="H235" s="32"/>
      <c r="I235" s="32">
        <v>7065</v>
      </c>
      <c r="J235" s="32">
        <f t="shared" si="65"/>
        <v>0</v>
      </c>
      <c r="K235" s="32">
        <f t="shared" si="66"/>
        <v>0</v>
      </c>
    </row>
    <row r="236" spans="1:11">
      <c r="A236" s="41"/>
      <c r="B236" s="88"/>
      <c r="C236" s="31"/>
      <c r="D236" s="32"/>
      <c r="E236" s="32"/>
      <c r="F236" s="32"/>
      <c r="G236" s="32"/>
      <c r="H236" s="32"/>
      <c r="I236" s="32"/>
      <c r="J236" s="32"/>
      <c r="K236" s="32"/>
    </row>
    <row r="237" spans="1:11">
      <c r="A237" s="30" t="s">
        <v>19</v>
      </c>
      <c r="B237" s="88"/>
      <c r="C237" s="31" t="s">
        <v>309</v>
      </c>
      <c r="D237" s="32">
        <v>71750</v>
      </c>
      <c r="E237" s="32">
        <v>71750</v>
      </c>
      <c r="F237" s="32">
        <v>0</v>
      </c>
      <c r="G237" s="32"/>
      <c r="H237" s="32"/>
      <c r="I237" s="32">
        <v>0</v>
      </c>
      <c r="J237" s="32">
        <f>D237-I237</f>
        <v>71750</v>
      </c>
      <c r="K237" s="32">
        <f>E237-I237</f>
        <v>71750</v>
      </c>
    </row>
    <row r="238" spans="1:11">
      <c r="A238" s="41"/>
      <c r="B238" s="88"/>
      <c r="C238" s="31"/>
      <c r="D238" s="32"/>
      <c r="E238" s="32"/>
      <c r="F238" s="32"/>
      <c r="G238" s="32"/>
      <c r="H238" s="32"/>
      <c r="I238" s="32"/>
      <c r="J238" s="32"/>
      <c r="K238" s="32"/>
    </row>
    <row r="239" spans="1:11" s="99" customFormat="1">
      <c r="A239" s="137" t="s">
        <v>289</v>
      </c>
      <c r="B239" s="98"/>
      <c r="C239" s="46"/>
      <c r="D239" s="47">
        <f t="shared" ref="D239:K239" si="67">D240+D243</f>
        <v>16955.95</v>
      </c>
      <c r="E239" s="47">
        <f t="shared" si="67"/>
        <v>16955.95</v>
      </c>
      <c r="F239" s="47">
        <f t="shared" si="67"/>
        <v>16955.95</v>
      </c>
      <c r="G239" s="47">
        <f t="shared" si="67"/>
        <v>0</v>
      </c>
      <c r="H239" s="47">
        <f t="shared" si="67"/>
        <v>0</v>
      </c>
      <c r="I239" s="47">
        <f t="shared" si="67"/>
        <v>16955.95</v>
      </c>
      <c r="J239" s="47">
        <f t="shared" si="67"/>
        <v>0</v>
      </c>
      <c r="K239" s="47">
        <f t="shared" si="67"/>
        <v>0</v>
      </c>
    </row>
    <row r="240" spans="1:11">
      <c r="A240" s="30" t="s">
        <v>25</v>
      </c>
      <c r="B240" s="92"/>
      <c r="C240" s="31" t="s">
        <v>285</v>
      </c>
      <c r="D240" s="32">
        <f>7759+5566.95</f>
        <v>13325.95</v>
      </c>
      <c r="E240" s="32">
        <f>7759+5566.95</f>
        <v>13325.95</v>
      </c>
      <c r="F240" s="32">
        <v>13325.95</v>
      </c>
      <c r="G240" s="32"/>
      <c r="H240" s="32"/>
      <c r="I240" s="32">
        <v>13325.95</v>
      </c>
      <c r="J240" s="32">
        <f>D240-I240</f>
        <v>0</v>
      </c>
      <c r="K240" s="32">
        <f>E240-I240</f>
        <v>0</v>
      </c>
    </row>
    <row r="241" spans="1:11">
      <c r="A241" s="65" t="s">
        <v>109</v>
      </c>
      <c r="B241" s="88"/>
      <c r="C241" s="31" t="s">
        <v>286</v>
      </c>
      <c r="D241" s="32">
        <f>1629+1172</f>
        <v>2801</v>
      </c>
      <c r="E241" s="32">
        <f>1629+1172</f>
        <v>2801</v>
      </c>
      <c r="F241" s="32">
        <v>2801</v>
      </c>
      <c r="G241" s="32"/>
      <c r="H241" s="32"/>
      <c r="I241" s="32">
        <v>2801</v>
      </c>
      <c r="J241" s="32">
        <f>D241-I241</f>
        <v>0</v>
      </c>
      <c r="K241" s="32">
        <f>E241-I241</f>
        <v>0</v>
      </c>
    </row>
    <row r="242" spans="1:11">
      <c r="A242" s="65" t="s">
        <v>110</v>
      </c>
      <c r="B242" s="88"/>
      <c r="C242" s="31" t="s">
        <v>287</v>
      </c>
      <c r="D242" s="32">
        <f>483+346</f>
        <v>829</v>
      </c>
      <c r="E242" s="32">
        <f>483+346</f>
        <v>829</v>
      </c>
      <c r="F242" s="32">
        <v>829</v>
      </c>
      <c r="G242" s="32"/>
      <c r="H242" s="32"/>
      <c r="I242" s="32">
        <v>829</v>
      </c>
      <c r="J242" s="32">
        <f>D242-I242</f>
        <v>0</v>
      </c>
      <c r="K242" s="32">
        <f>E242-I242</f>
        <v>0</v>
      </c>
    </row>
    <row r="243" spans="1:11" s="99" customFormat="1">
      <c r="A243" s="115" t="s">
        <v>155</v>
      </c>
      <c r="B243" s="92"/>
      <c r="C243" s="34"/>
      <c r="D243" s="47">
        <f t="shared" ref="D243:K243" si="68">SUM(D241:D242)</f>
        <v>3630</v>
      </c>
      <c r="E243" s="47">
        <f t="shared" si="68"/>
        <v>3630</v>
      </c>
      <c r="F243" s="47">
        <f t="shared" si="68"/>
        <v>3630</v>
      </c>
      <c r="G243" s="47">
        <f t="shared" si="68"/>
        <v>0</v>
      </c>
      <c r="H243" s="47">
        <f t="shared" si="68"/>
        <v>0</v>
      </c>
      <c r="I243" s="47">
        <f t="shared" si="68"/>
        <v>3630</v>
      </c>
      <c r="J243" s="47">
        <f t="shared" si="68"/>
        <v>0</v>
      </c>
      <c r="K243" s="47">
        <f t="shared" si="68"/>
        <v>0</v>
      </c>
    </row>
    <row r="244" spans="1:11" s="94" customFormat="1">
      <c r="A244" s="45"/>
      <c r="B244" s="44"/>
      <c r="C244" s="37"/>
      <c r="D244" s="38"/>
      <c r="E244" s="38"/>
      <c r="F244" s="38"/>
      <c r="G244" s="38"/>
      <c r="H244" s="38"/>
      <c r="I244" s="38"/>
      <c r="J244" s="38"/>
      <c r="K244" s="38"/>
    </row>
    <row r="245" spans="1:11" ht="12.75">
      <c r="A245" s="130" t="s">
        <v>176</v>
      </c>
      <c r="B245" s="103"/>
      <c r="C245" s="131" t="s">
        <v>179</v>
      </c>
      <c r="D245" s="132">
        <f t="shared" ref="D245:I245" si="69">D246</f>
        <v>532878.89</v>
      </c>
      <c r="E245" s="132">
        <f t="shared" si="69"/>
        <v>532878.89</v>
      </c>
      <c r="F245" s="132">
        <f t="shared" si="69"/>
        <v>532878.89</v>
      </c>
      <c r="G245" s="132">
        <f t="shared" si="69"/>
        <v>0</v>
      </c>
      <c r="H245" s="132">
        <f t="shared" si="69"/>
        <v>0</v>
      </c>
      <c r="I245" s="132">
        <f t="shared" si="69"/>
        <v>532878.89</v>
      </c>
      <c r="J245" s="132">
        <f>J246</f>
        <v>0</v>
      </c>
      <c r="K245" s="132">
        <f>K246</f>
        <v>0</v>
      </c>
    </row>
    <row r="246" spans="1:11" s="102" customFormat="1" ht="18.75" customHeight="1">
      <c r="A246" s="123" t="s">
        <v>177</v>
      </c>
      <c r="B246" s="101"/>
      <c r="C246" s="124" t="s">
        <v>178</v>
      </c>
      <c r="D246" s="49">
        <f t="shared" ref="D246:I246" si="70">D247+D248+D251+D252+D253+D254+D255+D256+D257+D258</f>
        <v>532878.89</v>
      </c>
      <c r="E246" s="49">
        <f t="shared" si="70"/>
        <v>532878.89</v>
      </c>
      <c r="F246" s="49">
        <f>F247+F248+F251+F252+F253+F254+F255+F256+F257+F258</f>
        <v>532878.89</v>
      </c>
      <c r="G246" s="49">
        <f t="shared" si="70"/>
        <v>0</v>
      </c>
      <c r="H246" s="49">
        <f t="shared" si="70"/>
        <v>0</v>
      </c>
      <c r="I246" s="49">
        <f t="shared" si="70"/>
        <v>532878.89</v>
      </c>
      <c r="J246" s="75">
        <f>D246-I246</f>
        <v>0</v>
      </c>
      <c r="K246" s="75">
        <f>E246-I246</f>
        <v>0</v>
      </c>
    </row>
    <row r="247" spans="1:11" s="102" customFormat="1" ht="18.75" customHeight="1">
      <c r="A247" s="113" t="s">
        <v>154</v>
      </c>
      <c r="B247" s="103"/>
      <c r="C247" s="31" t="s">
        <v>249</v>
      </c>
      <c r="D247" s="75">
        <f>127496-31874+1699.2</f>
        <v>97321.2</v>
      </c>
      <c r="E247" s="75">
        <f>127496-31874+1699.2</f>
        <v>97321.2</v>
      </c>
      <c r="F247" s="75">
        <v>97321.2</v>
      </c>
      <c r="G247" s="75"/>
      <c r="H247" s="75"/>
      <c r="I247" s="75">
        <v>97321.2</v>
      </c>
      <c r="J247" s="75">
        <f>D247-I247</f>
        <v>0</v>
      </c>
      <c r="K247" s="75">
        <f>E247-I247</f>
        <v>0</v>
      </c>
    </row>
    <row r="248" spans="1:11" s="102" customFormat="1" ht="30.75" customHeight="1">
      <c r="A248" s="39" t="s">
        <v>27</v>
      </c>
      <c r="B248" s="103"/>
      <c r="C248" s="31" t="s">
        <v>302</v>
      </c>
      <c r="D248" s="75">
        <v>750</v>
      </c>
      <c r="E248" s="75">
        <v>750</v>
      </c>
      <c r="F248" s="75">
        <v>750</v>
      </c>
      <c r="G248" s="75"/>
      <c r="H248" s="75"/>
      <c r="I248" s="75">
        <v>750</v>
      </c>
      <c r="J248" s="75">
        <f>D248-I248</f>
        <v>0</v>
      </c>
      <c r="K248" s="75">
        <f>E248-I248</f>
        <v>0</v>
      </c>
    </row>
    <row r="249" spans="1:11" s="102" customFormat="1" ht="18.75" customHeight="1">
      <c r="A249" s="65" t="s">
        <v>109</v>
      </c>
      <c r="B249" s="103"/>
      <c r="C249" s="31" t="s">
        <v>250</v>
      </c>
      <c r="D249" s="75">
        <f>28048-7012+375</f>
        <v>21411</v>
      </c>
      <c r="E249" s="75">
        <f>28048-7012+375</f>
        <v>21411</v>
      </c>
      <c r="F249" s="75">
        <v>21411</v>
      </c>
      <c r="G249" s="75"/>
      <c r="H249" s="75"/>
      <c r="I249" s="75">
        <v>21411</v>
      </c>
      <c r="J249" s="75">
        <f>D249-I249</f>
        <v>0</v>
      </c>
      <c r="K249" s="75">
        <f>E249-I249</f>
        <v>0</v>
      </c>
    </row>
    <row r="250" spans="1:11" s="102" customFormat="1" ht="18.75" customHeight="1">
      <c r="A250" s="121" t="s">
        <v>110</v>
      </c>
      <c r="B250" s="103"/>
      <c r="C250" s="31" t="s">
        <v>251</v>
      </c>
      <c r="D250" s="75">
        <f>10456-2614+138</f>
        <v>7980</v>
      </c>
      <c r="E250" s="75">
        <f>10456-2614+138</f>
        <v>7980</v>
      </c>
      <c r="F250" s="75">
        <v>7980</v>
      </c>
      <c r="G250" s="75"/>
      <c r="H250" s="75"/>
      <c r="I250" s="75">
        <v>7980</v>
      </c>
      <c r="J250" s="75">
        <f>D250-I250</f>
        <v>0</v>
      </c>
      <c r="K250" s="75">
        <f>E250-I250</f>
        <v>0</v>
      </c>
    </row>
    <row r="251" spans="1:11" s="102" customFormat="1" ht="18.75" customHeight="1">
      <c r="A251" s="117" t="s">
        <v>275</v>
      </c>
      <c r="B251" s="101"/>
      <c r="C251" s="46"/>
      <c r="D251" s="49">
        <f t="shared" ref="D251:K251" si="71">SUM(D249:D250)</f>
        <v>29391</v>
      </c>
      <c r="E251" s="49">
        <f t="shared" si="71"/>
        <v>29391</v>
      </c>
      <c r="F251" s="49">
        <f t="shared" si="71"/>
        <v>29391</v>
      </c>
      <c r="G251" s="49">
        <f t="shared" si="71"/>
        <v>0</v>
      </c>
      <c r="H251" s="49">
        <f t="shared" si="71"/>
        <v>0</v>
      </c>
      <c r="I251" s="49">
        <f t="shared" si="71"/>
        <v>29391</v>
      </c>
      <c r="J251" s="49">
        <f t="shared" si="71"/>
        <v>0</v>
      </c>
      <c r="K251" s="49">
        <f t="shared" si="71"/>
        <v>0</v>
      </c>
    </row>
    <row r="252" spans="1:11" ht="15.75" customHeight="1">
      <c r="A252" s="143" t="s">
        <v>20</v>
      </c>
      <c r="B252" s="88"/>
      <c r="C252" s="31" t="s">
        <v>290</v>
      </c>
      <c r="D252" s="32">
        <f>41500-35191.31</f>
        <v>6308.6900000000023</v>
      </c>
      <c r="E252" s="32">
        <f>41500-35191.31</f>
        <v>6308.6900000000023</v>
      </c>
      <c r="F252" s="32">
        <v>6308.69</v>
      </c>
      <c r="G252" s="32"/>
      <c r="H252" s="32"/>
      <c r="I252" s="32">
        <v>6308.69</v>
      </c>
      <c r="J252" s="32">
        <f t="shared" ref="J252:J258" si="72">D252-I252</f>
        <v>0</v>
      </c>
      <c r="K252" s="32">
        <f t="shared" ref="K252:K258" si="73">E252-I252</f>
        <v>0</v>
      </c>
    </row>
    <row r="253" spans="1:11" s="102" customFormat="1" ht="18.75" customHeight="1">
      <c r="A253" s="143" t="s">
        <v>20</v>
      </c>
      <c r="B253" s="101"/>
      <c r="C253" s="31" t="s">
        <v>303</v>
      </c>
      <c r="D253" s="75">
        <v>3525</v>
      </c>
      <c r="E253" s="75">
        <v>3525</v>
      </c>
      <c r="F253" s="32">
        <v>3525</v>
      </c>
      <c r="G253" s="49"/>
      <c r="H253" s="49"/>
      <c r="I253" s="32">
        <v>3525</v>
      </c>
      <c r="J253" s="32">
        <f t="shared" si="72"/>
        <v>0</v>
      </c>
      <c r="K253" s="32">
        <f t="shared" si="73"/>
        <v>0</v>
      </c>
    </row>
    <row r="254" spans="1:11" s="102" customFormat="1" ht="18.75" customHeight="1">
      <c r="A254" s="30" t="s">
        <v>21</v>
      </c>
      <c r="B254" s="101"/>
      <c r="C254" s="31" t="s">
        <v>304</v>
      </c>
      <c r="D254" s="75">
        <v>14013</v>
      </c>
      <c r="E254" s="75">
        <v>14013</v>
      </c>
      <c r="F254" s="32">
        <v>14013</v>
      </c>
      <c r="G254" s="49"/>
      <c r="H254" s="49"/>
      <c r="I254" s="32">
        <v>14013</v>
      </c>
      <c r="J254" s="32">
        <f t="shared" si="72"/>
        <v>0</v>
      </c>
      <c r="K254" s="32">
        <f t="shared" si="73"/>
        <v>0</v>
      </c>
    </row>
    <row r="255" spans="1:11" s="102" customFormat="1" ht="18.75" customHeight="1">
      <c r="A255" s="143" t="s">
        <v>20</v>
      </c>
      <c r="B255" s="101"/>
      <c r="C255" s="31" t="s">
        <v>280</v>
      </c>
      <c r="D255" s="75">
        <v>25000</v>
      </c>
      <c r="E255" s="75">
        <v>25000</v>
      </c>
      <c r="F255" s="32">
        <v>25000</v>
      </c>
      <c r="G255" s="49"/>
      <c r="H255" s="49"/>
      <c r="I255" s="32">
        <v>25000</v>
      </c>
      <c r="J255" s="32">
        <f t="shared" si="72"/>
        <v>0</v>
      </c>
      <c r="K255" s="32">
        <f t="shared" si="73"/>
        <v>0</v>
      </c>
    </row>
    <row r="256" spans="1:11" ht="15.75" customHeight="1">
      <c r="A256" s="30" t="s">
        <v>19</v>
      </c>
      <c r="B256" s="88"/>
      <c r="C256" s="31" t="s">
        <v>281</v>
      </c>
      <c r="D256" s="32">
        <v>10000</v>
      </c>
      <c r="E256" s="32">
        <v>10000</v>
      </c>
      <c r="F256" s="32">
        <v>10000</v>
      </c>
      <c r="G256" s="32"/>
      <c r="H256" s="32"/>
      <c r="I256" s="32">
        <v>10000</v>
      </c>
      <c r="J256" s="32">
        <f t="shared" si="72"/>
        <v>0</v>
      </c>
      <c r="K256" s="32">
        <f t="shared" si="73"/>
        <v>0</v>
      </c>
    </row>
    <row r="257" spans="1:11" ht="15.75" customHeight="1">
      <c r="A257" s="143" t="s">
        <v>20</v>
      </c>
      <c r="B257" s="88"/>
      <c r="C257" s="31" t="s">
        <v>282</v>
      </c>
      <c r="D257" s="32">
        <v>40000</v>
      </c>
      <c r="E257" s="32">
        <v>40000</v>
      </c>
      <c r="F257" s="32">
        <v>40000</v>
      </c>
      <c r="G257" s="32"/>
      <c r="H257" s="32"/>
      <c r="I257" s="32">
        <v>40000</v>
      </c>
      <c r="J257" s="32">
        <f t="shared" si="72"/>
        <v>0</v>
      </c>
      <c r="K257" s="32">
        <f t="shared" si="73"/>
        <v>0</v>
      </c>
    </row>
    <row r="258" spans="1:11" s="102" customFormat="1" ht="18.75" customHeight="1">
      <c r="A258" s="30" t="s">
        <v>21</v>
      </c>
      <c r="B258" s="101"/>
      <c r="C258" s="31" t="s">
        <v>283</v>
      </c>
      <c r="D258" s="75">
        <v>306570</v>
      </c>
      <c r="E258" s="75">
        <v>306570</v>
      </c>
      <c r="F258" s="32">
        <v>306570</v>
      </c>
      <c r="G258" s="49"/>
      <c r="H258" s="49"/>
      <c r="I258" s="32">
        <v>306570</v>
      </c>
      <c r="J258" s="32">
        <f t="shared" si="72"/>
        <v>0</v>
      </c>
      <c r="K258" s="32">
        <f t="shared" si="73"/>
        <v>0</v>
      </c>
    </row>
    <row r="259" spans="1:11" s="102" customFormat="1" ht="18.75" customHeight="1">
      <c r="A259" s="66"/>
      <c r="B259" s="101"/>
      <c r="C259" s="48"/>
      <c r="D259" s="49"/>
      <c r="E259" s="49"/>
      <c r="F259" s="49"/>
      <c r="G259" s="49"/>
      <c r="H259" s="49"/>
      <c r="I259" s="49"/>
      <c r="J259" s="49"/>
      <c r="K259" s="49"/>
    </row>
    <row r="260" spans="1:11" s="105" customFormat="1" ht="18.75" customHeight="1">
      <c r="A260" s="52" t="s">
        <v>69</v>
      </c>
      <c r="B260" s="104"/>
      <c r="C260" s="50"/>
      <c r="D260" s="51"/>
      <c r="E260" s="51"/>
      <c r="F260" s="51"/>
      <c r="G260" s="51"/>
      <c r="H260" s="51"/>
      <c r="I260" s="51"/>
      <c r="J260" s="51"/>
      <c r="K260" s="51"/>
    </row>
    <row r="261" spans="1:11">
      <c r="A261" s="53" t="s">
        <v>14</v>
      </c>
      <c r="B261" s="88"/>
      <c r="C261" s="54" t="s">
        <v>70</v>
      </c>
      <c r="D261" s="32">
        <f t="shared" ref="D261:K261" si="74">D18+D47+D106</f>
        <v>1262857.5599999998</v>
      </c>
      <c r="E261" s="32">
        <f>E18+E47+E106</f>
        <v>1262857.5599999998</v>
      </c>
      <c r="F261" s="32">
        <f>F18+F47+F106</f>
        <v>1262857.5599999998</v>
      </c>
      <c r="G261" s="32">
        <f t="shared" si="74"/>
        <v>0</v>
      </c>
      <c r="H261" s="32">
        <f t="shared" si="74"/>
        <v>0</v>
      </c>
      <c r="I261" s="32">
        <f t="shared" si="74"/>
        <v>1262857.5599999998</v>
      </c>
      <c r="J261" s="32">
        <f t="shared" si="74"/>
        <v>0</v>
      </c>
      <c r="K261" s="32">
        <f t="shared" si="74"/>
        <v>0</v>
      </c>
    </row>
    <row r="262" spans="1:11">
      <c r="A262" s="53" t="s">
        <v>25</v>
      </c>
      <c r="B262" s="88"/>
      <c r="C262" s="54" t="s">
        <v>71</v>
      </c>
      <c r="D262" s="32">
        <f t="shared" ref="D262:K262" si="75">D48+D167</f>
        <v>1217039.8799999999</v>
      </c>
      <c r="E262" s="32">
        <f t="shared" si="75"/>
        <v>1217039.8799999999</v>
      </c>
      <c r="F262" s="32">
        <f t="shared" si="75"/>
        <v>1217039.8799999999</v>
      </c>
      <c r="G262" s="32">
        <f t="shared" si="75"/>
        <v>0</v>
      </c>
      <c r="H262" s="32">
        <f t="shared" si="75"/>
        <v>0</v>
      </c>
      <c r="I262" s="32">
        <f t="shared" si="75"/>
        <v>1217039.8799999999</v>
      </c>
      <c r="J262" s="32">
        <f t="shared" si="75"/>
        <v>0</v>
      </c>
      <c r="K262" s="32">
        <f t="shared" si="75"/>
        <v>0</v>
      </c>
    </row>
    <row r="263" spans="1:11" s="93" customFormat="1">
      <c r="A263" s="55" t="s">
        <v>88</v>
      </c>
      <c r="B263" s="92"/>
      <c r="C263" s="34"/>
      <c r="D263" s="35">
        <f t="shared" ref="D263:K263" si="76">SUM(D261:D262)</f>
        <v>2479897.4399999995</v>
      </c>
      <c r="E263" s="35">
        <f t="shared" si="76"/>
        <v>2479897.4399999995</v>
      </c>
      <c r="F263" s="35">
        <f t="shared" si="76"/>
        <v>2479897.4399999995</v>
      </c>
      <c r="G263" s="35">
        <f t="shared" si="76"/>
        <v>0</v>
      </c>
      <c r="H263" s="35">
        <f t="shared" si="76"/>
        <v>0</v>
      </c>
      <c r="I263" s="35">
        <f t="shared" si="76"/>
        <v>2479897.4399999995</v>
      </c>
      <c r="J263" s="35">
        <f t="shared" si="76"/>
        <v>0</v>
      </c>
      <c r="K263" s="35">
        <f t="shared" si="76"/>
        <v>0</v>
      </c>
    </row>
    <row r="264" spans="1:11" ht="22.5">
      <c r="A264" s="56" t="s">
        <v>26</v>
      </c>
      <c r="B264" s="88"/>
      <c r="C264" s="54" t="s">
        <v>72</v>
      </c>
      <c r="D264" s="32">
        <f t="shared" ref="D264:K264" si="77">D50+D168+D19</f>
        <v>75210.759999999995</v>
      </c>
      <c r="E264" s="32">
        <f t="shared" si="77"/>
        <v>75210.759999999995</v>
      </c>
      <c r="F264" s="32">
        <f t="shared" si="77"/>
        <v>75210.759999999995</v>
      </c>
      <c r="G264" s="32">
        <f t="shared" si="77"/>
        <v>0</v>
      </c>
      <c r="H264" s="32">
        <f t="shared" si="77"/>
        <v>0</v>
      </c>
      <c r="I264" s="32">
        <f t="shared" si="77"/>
        <v>75210.759999999995</v>
      </c>
      <c r="J264" s="32">
        <f t="shared" si="77"/>
        <v>0</v>
      </c>
      <c r="K264" s="32">
        <f t="shared" si="77"/>
        <v>0</v>
      </c>
    </row>
    <row r="265" spans="1:11" ht="22.5">
      <c r="A265" s="56" t="s">
        <v>27</v>
      </c>
      <c r="B265" s="88"/>
      <c r="C265" s="54" t="s">
        <v>73</v>
      </c>
      <c r="D265" s="32">
        <f t="shared" ref="D265:K265" si="78">D169+D108+D51</f>
        <v>36750</v>
      </c>
      <c r="E265" s="32">
        <f t="shared" si="78"/>
        <v>36750</v>
      </c>
      <c r="F265" s="32">
        <f t="shared" si="78"/>
        <v>36750</v>
      </c>
      <c r="G265" s="32">
        <f t="shared" si="78"/>
        <v>0</v>
      </c>
      <c r="H265" s="32">
        <f t="shared" si="78"/>
        <v>0</v>
      </c>
      <c r="I265" s="32">
        <f t="shared" si="78"/>
        <v>36750</v>
      </c>
      <c r="J265" s="32">
        <f t="shared" si="78"/>
        <v>0</v>
      </c>
      <c r="K265" s="32">
        <f t="shared" si="78"/>
        <v>0</v>
      </c>
    </row>
    <row r="266" spans="1:11" s="93" customFormat="1">
      <c r="A266" s="55" t="s">
        <v>89</v>
      </c>
      <c r="B266" s="92"/>
      <c r="C266" s="34"/>
      <c r="D266" s="35">
        <f t="shared" ref="D266:K266" si="79">SUM(D264:D265)</f>
        <v>111960.76</v>
      </c>
      <c r="E266" s="35">
        <f>SUM(E264:E265)</f>
        <v>111960.76</v>
      </c>
      <c r="F266" s="35">
        <f>SUM(F264:F265)</f>
        <v>111960.76</v>
      </c>
      <c r="G266" s="35">
        <f t="shared" si="79"/>
        <v>0</v>
      </c>
      <c r="H266" s="35">
        <f t="shared" si="79"/>
        <v>0</v>
      </c>
      <c r="I266" s="35">
        <f t="shared" si="79"/>
        <v>111960.76</v>
      </c>
      <c r="J266" s="35">
        <f t="shared" si="79"/>
        <v>0</v>
      </c>
      <c r="K266" s="35">
        <f t="shared" si="79"/>
        <v>0</v>
      </c>
    </row>
    <row r="267" spans="1:11">
      <c r="A267" s="65" t="s">
        <v>109</v>
      </c>
      <c r="B267" s="88"/>
      <c r="C267" s="54" t="s">
        <v>74</v>
      </c>
      <c r="D267" s="32">
        <f t="shared" ref="D267:K268" si="80">D20+D53+D110+D171</f>
        <v>547441</v>
      </c>
      <c r="E267" s="32">
        <f t="shared" si="80"/>
        <v>547441</v>
      </c>
      <c r="F267" s="32">
        <f>F20+F53+F110+F171</f>
        <v>547441</v>
      </c>
      <c r="G267" s="32">
        <f t="shared" si="80"/>
        <v>0</v>
      </c>
      <c r="H267" s="32">
        <f t="shared" si="80"/>
        <v>0</v>
      </c>
      <c r="I267" s="32">
        <f t="shared" si="80"/>
        <v>547441</v>
      </c>
      <c r="J267" s="32">
        <f t="shared" si="80"/>
        <v>0</v>
      </c>
      <c r="K267" s="32">
        <f t="shared" si="80"/>
        <v>0</v>
      </c>
    </row>
    <row r="268" spans="1:11">
      <c r="A268" s="65" t="s">
        <v>110</v>
      </c>
      <c r="B268" s="88"/>
      <c r="C268" s="54" t="s">
        <v>75</v>
      </c>
      <c r="D268" s="32">
        <f t="shared" si="80"/>
        <v>206305.68000000002</v>
      </c>
      <c r="E268" s="32">
        <f t="shared" si="80"/>
        <v>206305.68000000002</v>
      </c>
      <c r="F268" s="32">
        <f>F21+F54+F111+F172</f>
        <v>206305.68000000002</v>
      </c>
      <c r="G268" s="32">
        <f t="shared" si="80"/>
        <v>0</v>
      </c>
      <c r="H268" s="32">
        <f t="shared" si="80"/>
        <v>0</v>
      </c>
      <c r="I268" s="32">
        <f t="shared" si="80"/>
        <v>206305.68000000002</v>
      </c>
      <c r="J268" s="32">
        <f t="shared" si="80"/>
        <v>0</v>
      </c>
      <c r="K268" s="32">
        <f t="shared" si="80"/>
        <v>0</v>
      </c>
    </row>
    <row r="269" spans="1:11" s="93" customFormat="1">
      <c r="A269" s="55" t="s">
        <v>92</v>
      </c>
      <c r="B269" s="92"/>
      <c r="C269" s="34"/>
      <c r="D269" s="35">
        <f t="shared" ref="D269:K269" si="81">SUM(D267:D268)</f>
        <v>753746.68</v>
      </c>
      <c r="E269" s="35">
        <f>SUM(E267:E268)</f>
        <v>753746.68</v>
      </c>
      <c r="F269" s="35">
        <f>SUM(F267:F268)</f>
        <v>753746.68</v>
      </c>
      <c r="G269" s="35">
        <f t="shared" si="81"/>
        <v>0</v>
      </c>
      <c r="H269" s="35">
        <f t="shared" si="81"/>
        <v>0</v>
      </c>
      <c r="I269" s="35">
        <f t="shared" si="81"/>
        <v>753746.68</v>
      </c>
      <c r="J269" s="35">
        <f>SUM(J267:J268)</f>
        <v>0</v>
      </c>
      <c r="K269" s="35">
        <f t="shared" si="81"/>
        <v>0</v>
      </c>
    </row>
    <row r="270" spans="1:11" s="93" customFormat="1">
      <c r="A270" s="55"/>
      <c r="B270" s="92"/>
      <c r="C270" s="34"/>
      <c r="D270" s="35">
        <f t="shared" ref="D270:K270" si="82">D271+D272+D276+D278+D279</f>
        <v>2645511.85</v>
      </c>
      <c r="E270" s="35">
        <f t="shared" si="82"/>
        <v>2645511.85</v>
      </c>
      <c r="F270" s="35">
        <f t="shared" si="82"/>
        <v>2574571.14</v>
      </c>
      <c r="G270" s="35">
        <f t="shared" si="82"/>
        <v>0</v>
      </c>
      <c r="H270" s="35">
        <f t="shared" si="82"/>
        <v>0</v>
      </c>
      <c r="I270" s="35">
        <f t="shared" si="82"/>
        <v>2574571.14</v>
      </c>
      <c r="J270" s="35">
        <f t="shared" si="82"/>
        <v>70940.709999999977</v>
      </c>
      <c r="K270" s="35">
        <f t="shared" si="82"/>
        <v>70940.709999999977</v>
      </c>
    </row>
    <row r="271" spans="1:11">
      <c r="A271" s="53" t="s">
        <v>15</v>
      </c>
      <c r="B271" s="88"/>
      <c r="C271" s="54" t="s">
        <v>270</v>
      </c>
      <c r="D271" s="32">
        <f t="shared" ref="D271:K271" si="83">D61+D179</f>
        <v>55365.84</v>
      </c>
      <c r="E271" s="32">
        <f t="shared" si="83"/>
        <v>55365.84</v>
      </c>
      <c r="F271" s="32">
        <f t="shared" si="83"/>
        <v>40873.35</v>
      </c>
      <c r="G271" s="32">
        <f t="shared" si="83"/>
        <v>0</v>
      </c>
      <c r="H271" s="32">
        <f t="shared" si="83"/>
        <v>0</v>
      </c>
      <c r="I271" s="32">
        <f t="shared" si="83"/>
        <v>40873.35</v>
      </c>
      <c r="J271" s="32">
        <f t="shared" si="83"/>
        <v>14492.490000000002</v>
      </c>
      <c r="K271" s="32">
        <f t="shared" si="83"/>
        <v>14492.490000000002</v>
      </c>
    </row>
    <row r="272" spans="1:11">
      <c r="A272" s="53" t="s">
        <v>16</v>
      </c>
      <c r="B272" s="88"/>
      <c r="C272" s="54" t="s">
        <v>76</v>
      </c>
      <c r="D272" s="32">
        <f t="shared" ref="D272:K272" si="84">D57+D62+D116+D175</f>
        <v>75714.5</v>
      </c>
      <c r="E272" s="32">
        <f t="shared" si="84"/>
        <v>75714.5</v>
      </c>
      <c r="F272" s="32">
        <f t="shared" si="84"/>
        <v>75714.5</v>
      </c>
      <c r="G272" s="32">
        <f t="shared" si="84"/>
        <v>0</v>
      </c>
      <c r="H272" s="32">
        <f t="shared" si="84"/>
        <v>0</v>
      </c>
      <c r="I272" s="32">
        <f t="shared" si="84"/>
        <v>75714.5</v>
      </c>
      <c r="J272" s="32">
        <f t="shared" si="84"/>
        <v>0</v>
      </c>
      <c r="K272" s="32">
        <f t="shared" si="84"/>
        <v>0</v>
      </c>
    </row>
    <row r="273" spans="1:11">
      <c r="A273" s="53" t="s">
        <v>31</v>
      </c>
      <c r="B273" s="88"/>
      <c r="C273" s="54" t="s">
        <v>77</v>
      </c>
      <c r="D273" s="32">
        <f t="shared" ref="D273:K273" si="85">D63</f>
        <v>917543.67</v>
      </c>
      <c r="E273" s="32">
        <f t="shared" si="85"/>
        <v>917543.67</v>
      </c>
      <c r="F273" s="32">
        <f t="shared" si="85"/>
        <v>917543.67</v>
      </c>
      <c r="G273" s="32">
        <f t="shared" si="85"/>
        <v>0</v>
      </c>
      <c r="H273" s="32">
        <f t="shared" si="85"/>
        <v>0</v>
      </c>
      <c r="I273" s="32">
        <f t="shared" si="85"/>
        <v>917543.67</v>
      </c>
      <c r="J273" s="32">
        <f t="shared" si="85"/>
        <v>0</v>
      </c>
      <c r="K273" s="32">
        <f t="shared" si="85"/>
        <v>0</v>
      </c>
    </row>
    <row r="274" spans="1:11">
      <c r="A274" s="53" t="s">
        <v>28</v>
      </c>
      <c r="B274" s="88"/>
      <c r="C274" s="54" t="s">
        <v>78</v>
      </c>
      <c r="D274" s="32">
        <f t="shared" ref="D274:K274" si="86">D64+D155</f>
        <v>391890</v>
      </c>
      <c r="E274" s="32">
        <f t="shared" si="86"/>
        <v>391890</v>
      </c>
      <c r="F274" s="32">
        <f t="shared" si="86"/>
        <v>385969.46</v>
      </c>
      <c r="G274" s="32">
        <f t="shared" si="86"/>
        <v>0</v>
      </c>
      <c r="H274" s="32">
        <f t="shared" si="86"/>
        <v>0</v>
      </c>
      <c r="I274" s="32">
        <f t="shared" si="86"/>
        <v>385969.46</v>
      </c>
      <c r="J274" s="32">
        <f t="shared" si="86"/>
        <v>5920.5399999999936</v>
      </c>
      <c r="K274" s="32">
        <f t="shared" si="86"/>
        <v>5920.5399999999936</v>
      </c>
    </row>
    <row r="275" spans="1:11">
      <c r="A275" s="53" t="s">
        <v>29</v>
      </c>
      <c r="B275" s="88"/>
      <c r="C275" s="54" t="s">
        <v>79</v>
      </c>
      <c r="D275" s="32">
        <f t="shared" ref="D275:K275" si="87">D65</f>
        <v>15313</v>
      </c>
      <c r="E275" s="32">
        <f>E65</f>
        <v>15313</v>
      </c>
      <c r="F275" s="32">
        <f>F65</f>
        <v>14127.85</v>
      </c>
      <c r="G275" s="32">
        <f t="shared" si="87"/>
        <v>0</v>
      </c>
      <c r="H275" s="32">
        <f t="shared" si="87"/>
        <v>0</v>
      </c>
      <c r="I275" s="32">
        <f t="shared" si="87"/>
        <v>14127.85</v>
      </c>
      <c r="J275" s="32">
        <f t="shared" si="87"/>
        <v>1185.1499999999996</v>
      </c>
      <c r="K275" s="32">
        <f t="shared" si="87"/>
        <v>1185.1499999999996</v>
      </c>
    </row>
    <row r="276" spans="1:11" s="93" customFormat="1">
      <c r="A276" s="55" t="s">
        <v>90</v>
      </c>
      <c r="B276" s="92"/>
      <c r="C276" s="34"/>
      <c r="D276" s="35">
        <f t="shared" ref="D276:K276" si="88">SUM(D273:D275)</f>
        <v>1324746.67</v>
      </c>
      <c r="E276" s="35">
        <f t="shared" si="88"/>
        <v>1324746.67</v>
      </c>
      <c r="F276" s="35">
        <f t="shared" si="88"/>
        <v>1317640.9800000002</v>
      </c>
      <c r="G276" s="35">
        <f t="shared" si="88"/>
        <v>0</v>
      </c>
      <c r="H276" s="35">
        <f t="shared" si="88"/>
        <v>0</v>
      </c>
      <c r="I276" s="35">
        <f t="shared" si="88"/>
        <v>1317640.9800000002</v>
      </c>
      <c r="J276" s="35">
        <f t="shared" si="88"/>
        <v>7105.6899999999932</v>
      </c>
      <c r="K276" s="35">
        <f t="shared" si="88"/>
        <v>7105.6899999999932</v>
      </c>
    </row>
    <row r="277" spans="1:11" s="107" customFormat="1" hidden="1">
      <c r="A277" s="53" t="s">
        <v>19</v>
      </c>
      <c r="B277" s="106"/>
      <c r="C277" s="54" t="s">
        <v>112</v>
      </c>
      <c r="D277" s="32"/>
      <c r="E277" s="32"/>
      <c r="F277" s="32"/>
      <c r="G277" s="32"/>
      <c r="H277" s="32"/>
      <c r="I277" s="32"/>
      <c r="J277" s="32"/>
      <c r="K277" s="32"/>
    </row>
    <row r="278" spans="1:11">
      <c r="A278" s="53" t="s">
        <v>18</v>
      </c>
      <c r="B278" s="88"/>
      <c r="C278" s="54" t="s">
        <v>80</v>
      </c>
      <c r="D278" s="32">
        <f t="shared" ref="D278:K278" si="89">D67+D118+D141+D180+D144+D142</f>
        <v>327240.61</v>
      </c>
      <c r="E278" s="32">
        <f t="shared" si="89"/>
        <v>327240.61</v>
      </c>
      <c r="F278" s="32">
        <f t="shared" si="89"/>
        <v>323656.21000000002</v>
      </c>
      <c r="G278" s="32">
        <f t="shared" si="89"/>
        <v>0</v>
      </c>
      <c r="H278" s="32">
        <f t="shared" si="89"/>
        <v>0</v>
      </c>
      <c r="I278" s="32">
        <f t="shared" si="89"/>
        <v>323656.21000000002</v>
      </c>
      <c r="J278" s="32">
        <f t="shared" si="89"/>
        <v>3584.3999999999942</v>
      </c>
      <c r="K278" s="32">
        <f t="shared" si="89"/>
        <v>3584.3999999999942</v>
      </c>
    </row>
    <row r="279" spans="1:11">
      <c r="A279" s="53" t="s">
        <v>19</v>
      </c>
      <c r="B279" s="88"/>
      <c r="C279" s="54" t="s">
        <v>269</v>
      </c>
      <c r="D279" s="32">
        <f t="shared" ref="D279:I279" si="90">D58+D68+D82+D114+D120+D130+D131+D143+D156+D159+D176+D181+D145+D83+D78+D79+D161+D162</f>
        <v>862444.23</v>
      </c>
      <c r="E279" s="32">
        <f>E58+E68+E82+E114+E120+E130+E131+E143+E156+E159+E176+E181+E145+E83+E78+E79+E161+E162</f>
        <v>862444.23</v>
      </c>
      <c r="F279" s="32">
        <f>F58+F68+F82+F114+F120+F130+F131+F143+F156+F159+F176+F181+F145+F83+F78+F79+F161+F162</f>
        <v>816686.1</v>
      </c>
      <c r="G279" s="32">
        <f t="shared" si="90"/>
        <v>0</v>
      </c>
      <c r="H279" s="32">
        <f t="shared" si="90"/>
        <v>0</v>
      </c>
      <c r="I279" s="32">
        <f t="shared" si="90"/>
        <v>816686.1</v>
      </c>
      <c r="J279" s="32">
        <f>J58+J68+J82+J114+J120+J130+J131+J143+J156+J159+J176+J181+J145+J83+J78+J79+J161</f>
        <v>45758.12999999999</v>
      </c>
      <c r="K279" s="32">
        <f>K58+K68+K82+K114+K120+K130+K131+K143+K156+K159+K176+K181+K145+K83+K78+K79+K161</f>
        <v>45758.12999999999</v>
      </c>
    </row>
    <row r="280" spans="1:11" ht="24">
      <c r="A280" s="30" t="s">
        <v>22</v>
      </c>
      <c r="B280" s="88"/>
      <c r="C280" s="54" t="s">
        <v>85</v>
      </c>
      <c r="D280" s="32">
        <f t="shared" ref="D280:K280" si="91">D85+D147+D151</f>
        <v>16167043.27</v>
      </c>
      <c r="E280" s="32">
        <f t="shared" si="91"/>
        <v>16167043.27</v>
      </c>
      <c r="F280" s="32">
        <f t="shared" si="91"/>
        <v>16167043.27</v>
      </c>
      <c r="G280" s="32">
        <f t="shared" si="91"/>
        <v>0</v>
      </c>
      <c r="H280" s="32">
        <f t="shared" si="91"/>
        <v>0</v>
      </c>
      <c r="I280" s="32">
        <f t="shared" si="91"/>
        <v>16167043.27</v>
      </c>
      <c r="J280" s="32">
        <f t="shared" si="91"/>
        <v>0</v>
      </c>
      <c r="K280" s="32">
        <f t="shared" si="91"/>
        <v>0</v>
      </c>
    </row>
    <row r="281" spans="1:11">
      <c r="A281" s="53" t="s">
        <v>20</v>
      </c>
      <c r="B281" s="88"/>
      <c r="C281" s="54" t="s">
        <v>81</v>
      </c>
      <c r="D281" s="32">
        <f t="shared" ref="D281:I281" si="92">D69+D97+D75</f>
        <v>4742.5299999999988</v>
      </c>
      <c r="E281" s="32">
        <f t="shared" si="92"/>
        <v>4742.5299999999988</v>
      </c>
      <c r="F281" s="32">
        <f>F69+F97+F75</f>
        <v>4742.53</v>
      </c>
      <c r="G281" s="32">
        <f t="shared" si="92"/>
        <v>0</v>
      </c>
      <c r="H281" s="32">
        <f t="shared" si="92"/>
        <v>0</v>
      </c>
      <c r="I281" s="32">
        <f t="shared" si="92"/>
        <v>4742.53</v>
      </c>
      <c r="J281" s="32">
        <f>J69+J75+J97</f>
        <v>0</v>
      </c>
      <c r="K281" s="32">
        <f>K69+K75+K97</f>
        <v>0</v>
      </c>
    </row>
    <row r="282" spans="1:11">
      <c r="A282" s="53" t="s">
        <v>21</v>
      </c>
      <c r="B282" s="88"/>
      <c r="C282" s="54" t="s">
        <v>82</v>
      </c>
      <c r="D282" s="32">
        <f>D122+D71</f>
        <v>694310</v>
      </c>
      <c r="E282" s="32">
        <f t="shared" ref="E282:K282" si="93">E122+E71</f>
        <v>694310</v>
      </c>
      <c r="F282" s="32">
        <f>F122+F71</f>
        <v>473319</v>
      </c>
      <c r="G282" s="32">
        <f t="shared" si="93"/>
        <v>0</v>
      </c>
      <c r="H282" s="32">
        <f t="shared" si="93"/>
        <v>0</v>
      </c>
      <c r="I282" s="32">
        <f t="shared" si="93"/>
        <v>473319</v>
      </c>
      <c r="J282" s="32">
        <f t="shared" si="93"/>
        <v>220991</v>
      </c>
      <c r="K282" s="32">
        <f t="shared" si="93"/>
        <v>220991</v>
      </c>
    </row>
    <row r="283" spans="1:11">
      <c r="A283" s="53" t="s">
        <v>30</v>
      </c>
      <c r="B283" s="88"/>
      <c r="C283" s="54" t="s">
        <v>83</v>
      </c>
      <c r="D283" s="32">
        <f t="shared" ref="D283:K283" si="94">D72</f>
        <v>129703</v>
      </c>
      <c r="E283" s="32">
        <f t="shared" si="94"/>
        <v>129703</v>
      </c>
      <c r="F283" s="32">
        <f t="shared" si="94"/>
        <v>96777.02</v>
      </c>
      <c r="G283" s="32">
        <f t="shared" si="94"/>
        <v>0</v>
      </c>
      <c r="H283" s="32">
        <f t="shared" si="94"/>
        <v>0</v>
      </c>
      <c r="I283" s="32">
        <f t="shared" si="94"/>
        <v>96777.02</v>
      </c>
      <c r="J283" s="32">
        <f t="shared" si="94"/>
        <v>32925.979999999996</v>
      </c>
      <c r="K283" s="32">
        <f t="shared" si="94"/>
        <v>32925.979999999996</v>
      </c>
    </row>
    <row r="284" spans="1:11" ht="24">
      <c r="A284" s="57" t="s">
        <v>185</v>
      </c>
      <c r="B284" s="88"/>
      <c r="C284" s="54" t="s">
        <v>84</v>
      </c>
      <c r="D284" s="32">
        <f t="shared" ref="D284:K284" si="95">D73+D101+D123+D183+D158</f>
        <v>59297.380000000005</v>
      </c>
      <c r="E284" s="32">
        <f t="shared" si="95"/>
        <v>59297.380000000005</v>
      </c>
      <c r="F284" s="32">
        <f t="shared" si="95"/>
        <v>59296.770000000004</v>
      </c>
      <c r="G284" s="32">
        <f t="shared" si="95"/>
        <v>0</v>
      </c>
      <c r="H284" s="32">
        <f t="shared" si="95"/>
        <v>0</v>
      </c>
      <c r="I284" s="32">
        <f t="shared" si="95"/>
        <v>59296.770000000004</v>
      </c>
      <c r="J284" s="32">
        <f t="shared" si="95"/>
        <v>0.61000000000058208</v>
      </c>
      <c r="K284" s="32">
        <f t="shared" si="95"/>
        <v>0.61000000000058208</v>
      </c>
    </row>
    <row r="285" spans="1:11" s="93" customFormat="1">
      <c r="A285" s="55" t="s">
        <v>91</v>
      </c>
      <c r="B285" s="92"/>
      <c r="C285" s="34"/>
      <c r="D285" s="35">
        <f t="shared" ref="D285:K285" si="96">SUM(D283:D284)</f>
        <v>189000.38</v>
      </c>
      <c r="E285" s="35">
        <f t="shared" si="96"/>
        <v>189000.38</v>
      </c>
      <c r="F285" s="35">
        <f t="shared" si="96"/>
        <v>156073.79</v>
      </c>
      <c r="G285" s="35">
        <f t="shared" si="96"/>
        <v>0</v>
      </c>
      <c r="H285" s="35">
        <f t="shared" si="96"/>
        <v>0</v>
      </c>
      <c r="I285" s="35">
        <f t="shared" si="96"/>
        <v>156073.79</v>
      </c>
      <c r="J285" s="35">
        <f t="shared" si="96"/>
        <v>32926.589999999997</v>
      </c>
      <c r="K285" s="35">
        <f t="shared" si="96"/>
        <v>32926.589999999997</v>
      </c>
    </row>
    <row r="286" spans="1:11" s="93" customFormat="1">
      <c r="A286" s="55"/>
      <c r="B286" s="92"/>
      <c r="C286" s="34" t="s">
        <v>111</v>
      </c>
      <c r="D286" s="35">
        <f>D246+D185</f>
        <v>2690272.73</v>
      </c>
      <c r="E286" s="35">
        <f>E246+E185</f>
        <v>2690272.73</v>
      </c>
      <c r="F286" s="35">
        <f>F246+F185</f>
        <v>2600768.77</v>
      </c>
      <c r="G286" s="38">
        <f>G126+G75</f>
        <v>0</v>
      </c>
      <c r="H286" s="38">
        <f>H126+H75</f>
        <v>0</v>
      </c>
      <c r="I286" s="35">
        <f>I246+I185</f>
        <v>2600768.77</v>
      </c>
      <c r="J286" s="35">
        <f>J246+J185</f>
        <v>89503.960000000036</v>
      </c>
      <c r="K286" s="35">
        <f>K246+K185</f>
        <v>89503.960000000036</v>
      </c>
    </row>
    <row r="287" spans="1:11" s="108" customFormat="1" ht="24" customHeight="1">
      <c r="A287" s="42" t="s">
        <v>23</v>
      </c>
      <c r="B287" s="96"/>
      <c r="C287" s="43"/>
      <c r="D287" s="58">
        <f>D263+D266+D269+D270+D280+D281+D282+D285+D286</f>
        <v>25736485.640000001</v>
      </c>
      <c r="E287" s="58">
        <f t="shared" ref="E287:K287" si="97">E263+E266+E269+E270+E280+E281+E282+E285+E286</f>
        <v>25736485.640000001</v>
      </c>
      <c r="F287" s="58">
        <f>F263+F266+F269+F270+F280+F281+F282+F285+F286</f>
        <v>25322123.379999999</v>
      </c>
      <c r="G287" s="38">
        <f>G127+G76</f>
        <v>0</v>
      </c>
      <c r="H287" s="38">
        <f>H127+H76</f>
        <v>0</v>
      </c>
      <c r="I287" s="58">
        <f t="shared" si="97"/>
        <v>25322123.379999999</v>
      </c>
      <c r="J287" s="58">
        <f t="shared" si="97"/>
        <v>414362.25999999995</v>
      </c>
      <c r="K287" s="58">
        <f t="shared" si="97"/>
        <v>414362.25999999995</v>
      </c>
    </row>
    <row r="288" spans="1:11">
      <c r="D288" s="59"/>
      <c r="E288" s="109"/>
    </row>
  </sheetData>
  <mergeCells count="7">
    <mergeCell ref="E12:E13"/>
    <mergeCell ref="J12:K12"/>
    <mergeCell ref="A12:A13"/>
    <mergeCell ref="B12:B13"/>
    <mergeCell ref="C12:C13"/>
    <mergeCell ref="D12:D13"/>
    <mergeCell ref="F12:I12"/>
  </mergeCells>
  <phoneticPr fontId="0" type="noConversion"/>
  <pageMargins left="0.59055118110236227" right="0.19685039370078741" top="0.39370078740157483" bottom="0.39370078740157483" header="0.19685039370078741" footer="0.39370078740157483"/>
  <pageSetup paperSize="9" scale="80" fitToHeight="0" orientation="landscape" r:id="rId1"/>
  <headerFooter alignWithMargins="0">
    <oddFooter>&amp;RСтраница &amp;P из &amp;N</oddFooter>
  </headerFooter>
  <rowBreaks count="6" manualBreakCount="6">
    <brk id="66" max="16383" man="1"/>
    <brk id="102" max="16383" man="1"/>
    <brk id="148" max="16383" man="1"/>
    <brk id="184" max="16383" man="1"/>
    <brk id="217" max="16383" man="1"/>
    <brk id="2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tabSelected="1" view="pageBreakPreview" topLeftCell="A8" zoomScaleNormal="100" zoomScaleSheetLayoutView="100" workbookViewId="0">
      <selection activeCell="D19" sqref="D19"/>
    </sheetView>
  </sheetViews>
  <sheetFormatPr defaultRowHeight="12.75"/>
  <cols>
    <col min="1" max="1" width="32.85546875" style="2" customWidth="1"/>
    <col min="2" max="2" width="6.5703125" style="3" customWidth="1"/>
    <col min="3" max="3" width="25.7109375" style="1" customWidth="1"/>
    <col min="4" max="4" width="15.7109375" style="4" customWidth="1"/>
    <col min="5" max="5" width="14.28515625" style="4" customWidth="1"/>
    <col min="6" max="6" width="11.42578125" style="4" customWidth="1"/>
    <col min="7" max="7" width="11" style="4" customWidth="1"/>
    <col min="8" max="8" width="13" style="4" customWidth="1"/>
    <col min="9" max="9" width="16" style="4" customWidth="1"/>
    <col min="10" max="10" width="11.7109375" bestFit="1" customWidth="1"/>
    <col min="11" max="11" width="10.28515625" customWidth="1"/>
    <col min="12" max="12" width="11.28515625" bestFit="1" customWidth="1"/>
  </cols>
  <sheetData>
    <row r="1" spans="1:13" s="6" customFormat="1" ht="30" hidden="1" customHeight="1">
      <c r="C1" s="6" t="s">
        <v>0</v>
      </c>
    </row>
    <row r="2" spans="1:13" s="6" customFormat="1" hidden="1">
      <c r="A2" s="7"/>
      <c r="B2" s="7"/>
      <c r="C2" s="7"/>
      <c r="D2" s="7"/>
      <c r="E2" s="7"/>
      <c r="F2" s="7"/>
      <c r="G2" s="7"/>
      <c r="H2" s="7"/>
      <c r="I2" s="7"/>
    </row>
    <row r="3" spans="1:13" s="6" customFormat="1" hidden="1">
      <c r="A3" s="7"/>
      <c r="B3" s="7"/>
      <c r="C3" s="7" t="s">
        <v>1</v>
      </c>
      <c r="D3" s="7"/>
      <c r="E3" s="7"/>
      <c r="F3" s="7"/>
      <c r="G3" s="7"/>
      <c r="H3" s="7"/>
      <c r="I3" s="7"/>
    </row>
    <row r="4" spans="1:13" s="6" customFormat="1" hidden="1">
      <c r="A4" s="7"/>
      <c r="B4" s="7"/>
      <c r="C4" s="7"/>
      <c r="D4" s="7"/>
      <c r="E4" s="7"/>
      <c r="F4" s="7"/>
      <c r="G4" s="7"/>
      <c r="H4" s="7"/>
      <c r="I4" s="7"/>
    </row>
    <row r="5" spans="1:13" s="6" customFormat="1" hidden="1">
      <c r="A5" s="7"/>
      <c r="B5" s="7"/>
      <c r="C5" s="7"/>
      <c r="D5" s="7"/>
      <c r="E5" s="7"/>
      <c r="F5" s="7"/>
      <c r="G5" s="7"/>
      <c r="H5" s="7"/>
      <c r="I5" s="7"/>
    </row>
    <row r="6" spans="1:13" s="6" customFormat="1" hidden="1">
      <c r="A6" s="7" t="s">
        <v>2</v>
      </c>
      <c r="B6" s="7"/>
      <c r="C6" s="7"/>
      <c r="D6" s="7"/>
      <c r="E6" s="7"/>
      <c r="F6" s="7"/>
      <c r="G6" s="7"/>
      <c r="H6" s="7"/>
      <c r="I6" s="7"/>
    </row>
    <row r="7" spans="1:13" s="6" customFormat="1" hidden="1">
      <c r="A7" s="7" t="s">
        <v>3</v>
      </c>
      <c r="B7" s="7"/>
      <c r="C7" s="7"/>
      <c r="D7" s="7"/>
      <c r="E7" s="7"/>
      <c r="F7" s="7"/>
      <c r="G7" s="7"/>
      <c r="H7" s="7"/>
      <c r="I7" s="7"/>
    </row>
    <row r="8" spans="1:13" s="6" customFormat="1">
      <c r="A8" s="7"/>
      <c r="B8" s="7"/>
      <c r="C8" s="7"/>
      <c r="D8" s="7"/>
      <c r="E8" s="7"/>
      <c r="F8" s="7"/>
      <c r="G8" s="7"/>
      <c r="H8" s="7"/>
      <c r="I8" s="7"/>
      <c r="J8" s="9" t="s">
        <v>311</v>
      </c>
    </row>
    <row r="9" spans="1:13" s="6" customFormat="1">
      <c r="A9" s="150" t="s">
        <v>36</v>
      </c>
      <c r="B9" s="150"/>
      <c r="C9" s="150"/>
      <c r="D9" s="150"/>
      <c r="E9" s="150"/>
      <c r="F9" s="150"/>
      <c r="G9" s="151" t="s">
        <v>13</v>
      </c>
      <c r="H9" s="151"/>
      <c r="I9" s="21"/>
    </row>
    <row r="10" spans="1:13" s="5" customFormat="1">
      <c r="A10" s="152" t="s">
        <v>37</v>
      </c>
      <c r="B10" s="154" t="s">
        <v>38</v>
      </c>
      <c r="C10" s="152" t="s">
        <v>39</v>
      </c>
      <c r="D10" s="156" t="s">
        <v>40</v>
      </c>
      <c r="E10" s="149" t="s">
        <v>5</v>
      </c>
      <c r="F10" s="149"/>
      <c r="G10" s="149"/>
      <c r="H10" s="149"/>
      <c r="I10" s="149" t="s">
        <v>6</v>
      </c>
    </row>
    <row r="11" spans="1:13" s="8" customFormat="1" ht="60" customHeight="1">
      <c r="A11" s="153"/>
      <c r="B11" s="155"/>
      <c r="C11" s="153"/>
      <c r="D11" s="157"/>
      <c r="E11" s="17" t="s">
        <v>41</v>
      </c>
      <c r="F11" s="17" t="s">
        <v>42</v>
      </c>
      <c r="G11" s="17" t="s">
        <v>43</v>
      </c>
      <c r="H11" s="17" t="s">
        <v>44</v>
      </c>
      <c r="I11" s="149"/>
      <c r="L11" s="8" t="s">
        <v>128</v>
      </c>
      <c r="M11" s="8" t="s">
        <v>86</v>
      </c>
    </row>
    <row r="12" spans="1:13" s="8" customFormat="1" ht="11.25">
      <c r="A12" s="18" t="s">
        <v>45</v>
      </c>
      <c r="B12" s="19">
        <v>2</v>
      </c>
      <c r="C12" s="19" t="s">
        <v>46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L12" s="77">
        <v>33721.370000000003</v>
      </c>
      <c r="M12" s="76">
        <f>50162.05+3088.94</f>
        <v>53250.990000000005</v>
      </c>
    </row>
    <row r="13" spans="1:13" s="8" customFormat="1" ht="33.75" customHeight="1">
      <c r="A13" s="13" t="s">
        <v>47</v>
      </c>
      <c r="B13" s="10">
        <v>500</v>
      </c>
      <c r="C13" s="11"/>
      <c r="D13" s="20">
        <f>D23-D24</f>
        <v>-33721.370000001043</v>
      </c>
      <c r="E13" s="20">
        <f>(E23)+E24</f>
        <v>-19529.620000001043</v>
      </c>
      <c r="F13" s="12" t="s">
        <v>49</v>
      </c>
      <c r="G13" s="12" t="s">
        <v>49</v>
      </c>
      <c r="H13" s="20">
        <f>(H23)+H24</f>
        <v>-19529.620000001043</v>
      </c>
      <c r="I13" s="12">
        <f>D13+E13</f>
        <v>-53250.990000002086</v>
      </c>
      <c r="L13" s="148" t="s">
        <v>307</v>
      </c>
      <c r="M13" s="148"/>
    </row>
    <row r="14" spans="1:13">
      <c r="A14" s="13" t="s">
        <v>50</v>
      </c>
      <c r="B14" s="10"/>
      <c r="C14" s="11"/>
      <c r="D14" s="20"/>
      <c r="E14" s="12"/>
      <c r="F14" s="12"/>
      <c r="G14" s="12"/>
      <c r="H14" s="12"/>
      <c r="I14" s="12"/>
      <c r="M14" s="68">
        <f>33721.37+25341653-25322123.38</f>
        <v>53250.990000002086</v>
      </c>
    </row>
    <row r="15" spans="1:13" ht="22.5">
      <c r="A15" s="13" t="s">
        <v>51</v>
      </c>
      <c r="B15" s="10">
        <v>520</v>
      </c>
      <c r="C15" s="11" t="s">
        <v>48</v>
      </c>
      <c r="D15" s="20" t="s">
        <v>49</v>
      </c>
      <c r="E15" s="12"/>
      <c r="F15" s="12" t="s">
        <v>49</v>
      </c>
      <c r="G15" s="12" t="s">
        <v>49</v>
      </c>
      <c r="H15" s="12"/>
      <c r="I15" s="12" t="s">
        <v>49</v>
      </c>
      <c r="J15" s="67"/>
      <c r="K15" s="72"/>
      <c r="L15" s="69"/>
      <c r="M15" s="70"/>
    </row>
    <row r="16" spans="1:13">
      <c r="A16" s="13" t="s">
        <v>52</v>
      </c>
      <c r="B16" s="10"/>
      <c r="C16" s="11"/>
      <c r="D16" s="20"/>
      <c r="E16" s="12"/>
      <c r="F16" s="12"/>
      <c r="G16" s="12"/>
      <c r="H16" s="12"/>
      <c r="I16" s="12"/>
      <c r="L16" s="68"/>
    </row>
    <row r="17" spans="1:12" ht="22.5">
      <c r="A17" s="13" t="s">
        <v>53</v>
      </c>
      <c r="B17" s="10">
        <v>620</v>
      </c>
      <c r="C17" s="11" t="s">
        <v>48</v>
      </c>
      <c r="D17" s="20" t="s">
        <v>49</v>
      </c>
      <c r="E17" s="12"/>
      <c r="F17" s="12" t="s">
        <v>49</v>
      </c>
      <c r="G17" s="12" t="s">
        <v>49</v>
      </c>
      <c r="H17" s="12"/>
      <c r="I17" s="12" t="s">
        <v>49</v>
      </c>
      <c r="J17" s="74"/>
      <c r="K17" s="22"/>
      <c r="L17" s="71"/>
    </row>
    <row r="18" spans="1:12">
      <c r="A18" s="13" t="s">
        <v>54</v>
      </c>
      <c r="B18" s="10"/>
      <c r="C18" s="11"/>
      <c r="D18" s="20"/>
      <c r="E18" s="12"/>
      <c r="F18" s="12"/>
      <c r="G18" s="12"/>
      <c r="H18" s="12"/>
      <c r="I18" s="12"/>
    </row>
    <row r="19" spans="1:12">
      <c r="A19" s="13" t="s">
        <v>55</v>
      </c>
      <c r="B19" s="10">
        <v>700</v>
      </c>
      <c r="C19" s="11"/>
      <c r="D19" s="20" t="s">
        <v>49</v>
      </c>
      <c r="E19" s="12"/>
      <c r="F19" s="12" t="s">
        <v>49</v>
      </c>
      <c r="G19" s="12" t="s">
        <v>49</v>
      </c>
      <c r="H19" s="12"/>
      <c r="I19" s="12" t="s">
        <v>48</v>
      </c>
      <c r="J19" s="74"/>
    </row>
    <row r="20" spans="1:12" ht="22.5">
      <c r="A20" s="13" t="s">
        <v>56</v>
      </c>
      <c r="B20" s="10">
        <v>800</v>
      </c>
      <c r="C20" s="11" t="s">
        <v>48</v>
      </c>
      <c r="D20" s="20" t="s">
        <v>48</v>
      </c>
      <c r="E20" s="12"/>
      <c r="F20" s="12" t="s">
        <v>49</v>
      </c>
      <c r="G20" s="12" t="s">
        <v>49</v>
      </c>
      <c r="H20" s="12"/>
      <c r="I20" s="12" t="s">
        <v>48</v>
      </c>
      <c r="J20" s="68"/>
    </row>
    <row r="21" spans="1:12" ht="45">
      <c r="A21" s="13" t="s">
        <v>57</v>
      </c>
      <c r="B21" s="10">
        <v>810</v>
      </c>
      <c r="C21" s="11" t="s">
        <v>48</v>
      </c>
      <c r="D21" s="20" t="s">
        <v>48</v>
      </c>
      <c r="E21" s="20">
        <f>E23+E24</f>
        <v>-19529.620000001043</v>
      </c>
      <c r="F21" s="12" t="s">
        <v>49</v>
      </c>
      <c r="G21" s="12" t="s">
        <v>48</v>
      </c>
      <c r="H21" s="20">
        <f>H23+H24</f>
        <v>-19529.620000001043</v>
      </c>
      <c r="I21" s="12" t="s">
        <v>48</v>
      </c>
    </row>
    <row r="22" spans="1:12">
      <c r="A22" s="13" t="s">
        <v>52</v>
      </c>
      <c r="B22" s="10"/>
      <c r="C22" s="11"/>
      <c r="D22" s="20"/>
      <c r="E22" s="12"/>
      <c r="F22" s="12"/>
      <c r="G22" s="12"/>
      <c r="H22" s="12"/>
      <c r="I22" s="12"/>
    </row>
    <row r="23" spans="1:12" ht="29.25" customHeight="1">
      <c r="A23" s="13" t="s">
        <v>58</v>
      </c>
      <c r="B23" s="10">
        <v>811</v>
      </c>
      <c r="C23" s="11" t="s">
        <v>296</v>
      </c>
      <c r="D23" s="20">
        <f>71750+25631014.27</f>
        <v>25702764.27</v>
      </c>
      <c r="E23" s="20">
        <v>-25341653</v>
      </c>
      <c r="F23" s="12" t="s">
        <v>48</v>
      </c>
      <c r="G23" s="12" t="s">
        <v>48</v>
      </c>
      <c r="H23" s="20">
        <v>-25341653</v>
      </c>
      <c r="I23" s="12" t="s">
        <v>48</v>
      </c>
      <c r="J23" s="22"/>
    </row>
    <row r="24" spans="1:12" ht="22.5">
      <c r="A24" s="13" t="s">
        <v>59</v>
      </c>
      <c r="B24" s="10">
        <v>812</v>
      </c>
      <c r="C24" s="11" t="s">
        <v>297</v>
      </c>
      <c r="D24" s="20">
        <f>'Расходы бюджета'!D287</f>
        <v>25736485.640000001</v>
      </c>
      <c r="E24" s="20">
        <f>'Расходы бюджета'!I287</f>
        <v>25322123.379999999</v>
      </c>
      <c r="F24" s="12" t="s">
        <v>49</v>
      </c>
      <c r="G24" s="12" t="s">
        <v>48</v>
      </c>
      <c r="H24" s="20">
        <v>25322123.379999999</v>
      </c>
      <c r="I24" s="12" t="s">
        <v>48</v>
      </c>
      <c r="J24" s="71"/>
    </row>
    <row r="25" spans="1:12" ht="22.5">
      <c r="A25" s="13" t="s">
        <v>60</v>
      </c>
      <c r="B25" s="10">
        <v>820</v>
      </c>
      <c r="C25" s="11" t="s">
        <v>48</v>
      </c>
      <c r="D25" s="12" t="s">
        <v>48</v>
      </c>
      <c r="E25" s="12"/>
      <c r="F25" s="12" t="s">
        <v>49</v>
      </c>
      <c r="G25" s="12" t="s">
        <v>49</v>
      </c>
      <c r="H25" s="12" t="s">
        <v>49</v>
      </c>
      <c r="I25" s="12" t="s">
        <v>48</v>
      </c>
    </row>
    <row r="26" spans="1:12">
      <c r="A26" s="13" t="s">
        <v>61</v>
      </c>
      <c r="B26" s="10"/>
      <c r="C26" s="11"/>
      <c r="D26" s="12"/>
      <c r="E26" s="12"/>
      <c r="F26" s="12"/>
      <c r="G26" s="12"/>
      <c r="H26" s="12"/>
      <c r="I26" s="12"/>
    </row>
    <row r="27" spans="1:12" ht="22.5">
      <c r="A27" s="13" t="s">
        <v>62</v>
      </c>
      <c r="B27" s="10">
        <v>821</v>
      </c>
      <c r="C27" s="11" t="s">
        <v>48</v>
      </c>
      <c r="D27" s="12" t="s">
        <v>48</v>
      </c>
      <c r="E27" s="12" t="s">
        <v>48</v>
      </c>
      <c r="F27" s="12" t="s">
        <v>49</v>
      </c>
      <c r="G27" s="12" t="s">
        <v>49</v>
      </c>
      <c r="H27" s="12" t="s">
        <v>49</v>
      </c>
      <c r="I27" s="12" t="s">
        <v>48</v>
      </c>
    </row>
    <row r="28" spans="1:12" ht="22.5">
      <c r="A28" s="13" t="s">
        <v>63</v>
      </c>
      <c r="B28" s="10">
        <v>822</v>
      </c>
      <c r="C28" s="11" t="s">
        <v>48</v>
      </c>
      <c r="D28" s="12" t="s">
        <v>48</v>
      </c>
      <c r="E28" s="12" t="s">
        <v>48</v>
      </c>
      <c r="F28" s="12" t="s">
        <v>49</v>
      </c>
      <c r="G28" s="12" t="s">
        <v>49</v>
      </c>
      <c r="H28" s="12" t="s">
        <v>49</v>
      </c>
      <c r="I28" s="12" t="s">
        <v>48</v>
      </c>
    </row>
    <row r="30" spans="1:12">
      <c r="A30" s="14" t="s">
        <v>64</v>
      </c>
      <c r="B30" s="15"/>
      <c r="C30" s="16" t="s">
        <v>93</v>
      </c>
    </row>
    <row r="31" spans="1:12">
      <c r="A31" s="14"/>
      <c r="B31" s="15"/>
      <c r="C31" s="16"/>
    </row>
    <row r="32" spans="1:12">
      <c r="A32" s="14" t="s">
        <v>65</v>
      </c>
      <c r="B32" s="15"/>
      <c r="C32" s="16" t="s">
        <v>66</v>
      </c>
    </row>
    <row r="33" spans="1:3">
      <c r="A33" s="14"/>
      <c r="B33" s="15"/>
      <c r="C33" s="16"/>
    </row>
    <row r="34" spans="1:3">
      <c r="A34" s="14" t="s">
        <v>308</v>
      </c>
      <c r="B34" s="15"/>
      <c r="C34" s="16"/>
    </row>
  </sheetData>
  <mergeCells count="9">
    <mergeCell ref="L13:M13"/>
    <mergeCell ref="I10:I11"/>
    <mergeCell ref="A9:F9"/>
    <mergeCell ref="G9:H9"/>
    <mergeCell ref="A10:A11"/>
    <mergeCell ref="B10:B11"/>
    <mergeCell ref="C10:C11"/>
    <mergeCell ref="D10:D11"/>
    <mergeCell ref="E10:H10"/>
  </mergeCells>
  <phoneticPr fontId="0" type="noConversion"/>
  <pageMargins left="0.78740157480314954" right="0.19685039370078738" top="0.39370078740157477" bottom="0.39370078740157477" header="0" footer="0"/>
  <pageSetup paperSize="9" scale="88" fitToHeight="0" orientation="landscape" r:id="rId1"/>
  <headerFooter alignWithMargins="0">
    <oddFooter>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Расходы бюджета</vt:lpstr>
      <vt:lpstr>ИФДБ</vt:lpstr>
      <vt:lpstr>ИФДБ!Заголовки_для_печати</vt:lpstr>
      <vt:lpstr>'Расходы бюджета'!Заголовки_для_печати</vt:lpstr>
      <vt:lpstr>ИФДБ!Область_печати</vt:lpstr>
    </vt:vector>
  </TitlesOfParts>
  <Company>CC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Yu. Pronina</dc:creator>
  <cp:lastModifiedBy>Саенко</cp:lastModifiedBy>
  <cp:lastPrinted>2015-01-12T15:24:28Z</cp:lastPrinted>
  <dcterms:created xsi:type="dcterms:W3CDTF">2005-06-23T13:40:44Z</dcterms:created>
  <dcterms:modified xsi:type="dcterms:W3CDTF">2015-06-17T02:43:21Z</dcterms:modified>
</cp:coreProperties>
</file>