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85" yWindow="-285" windowWidth="10995" windowHeight="9165"/>
  </bookViews>
  <sheets>
    <sheet name="доходы" sheetId="4" r:id="rId1"/>
    <sheet name="Расходы бюджета" sheetId="3" r:id="rId2"/>
    <sheet name="ИФДБ" sheetId="2" r:id="rId3"/>
  </sheets>
  <definedNames>
    <definedName name="FIO" localSheetId="0">доходы!$D$23</definedName>
    <definedName name="_xlnm.Print_Titles" localSheetId="2">ИФДБ!$13:$13</definedName>
    <definedName name="_xlnm.Print_Titles" localSheetId="1">'Расходы бюджета'!$13:$13</definedName>
  </definedNames>
  <calcPr calcId="125725"/>
</workbook>
</file>

<file path=xl/calcChain.xml><?xml version="1.0" encoding="utf-8"?>
<calcChain xmlns="http://schemas.openxmlformats.org/spreadsheetml/2006/main">
  <c r="E27" i="4"/>
  <c r="E23" i="3"/>
  <c r="F23"/>
  <c r="G23"/>
  <c r="H23"/>
  <c r="I23"/>
  <c r="D23"/>
  <c r="D67"/>
  <c r="E122" l="1"/>
  <c r="D122"/>
  <c r="F46" i="4"/>
  <c r="E57" i="3"/>
  <c r="D57"/>
  <c r="E131"/>
  <c r="D131"/>
  <c r="D126"/>
  <c r="D128"/>
  <c r="D124"/>
  <c r="D116"/>
  <c r="E161"/>
  <c r="D161"/>
  <c r="F147"/>
  <c r="G147"/>
  <c r="H147"/>
  <c r="I147"/>
  <c r="F280"/>
  <c r="G280"/>
  <c r="H280"/>
  <c r="I280"/>
  <c r="F281"/>
  <c r="G281"/>
  <c r="H281"/>
  <c r="I281"/>
  <c r="F269"/>
  <c r="G269"/>
  <c r="H269"/>
  <c r="F270"/>
  <c r="G270"/>
  <c r="H270"/>
  <c r="F263"/>
  <c r="G263"/>
  <c r="H263"/>
  <c r="I263"/>
  <c r="D262"/>
  <c r="E179"/>
  <c r="D211"/>
  <c r="E202"/>
  <c r="E201"/>
  <c r="D195"/>
  <c r="E195"/>
  <c r="E64"/>
  <c r="E19"/>
  <c r="E270" s="1"/>
  <c r="E18"/>
  <c r="E269" s="1"/>
  <c r="E17"/>
  <c r="E67"/>
  <c r="E46"/>
  <c r="E263" s="1"/>
  <c r="E45"/>
  <c r="E257"/>
  <c r="E256"/>
  <c r="E254"/>
  <c r="E174"/>
  <c r="E208"/>
  <c r="E151"/>
  <c r="D151"/>
  <c r="E149"/>
  <c r="E147" s="1"/>
  <c r="D149"/>
  <c r="D147" s="1"/>
  <c r="K150"/>
  <c r="J150"/>
  <c r="E154"/>
  <c r="D154"/>
  <c r="D153"/>
  <c r="E153"/>
  <c r="E48"/>
  <c r="D68"/>
  <c r="E266"/>
  <c r="F266"/>
  <c r="G266"/>
  <c r="H266"/>
  <c r="I266"/>
  <c r="D266"/>
  <c r="E267"/>
  <c r="F267"/>
  <c r="G267"/>
  <c r="H267"/>
  <c r="I267"/>
  <c r="D267"/>
  <c r="K49"/>
  <c r="J49"/>
  <c r="D48"/>
  <c r="D53"/>
  <c r="D52"/>
  <c r="D46"/>
  <c r="K78"/>
  <c r="J78"/>
  <c r="I81"/>
  <c r="H81"/>
  <c r="G81"/>
  <c r="F81"/>
  <c r="E81"/>
  <c r="K80"/>
  <c r="J80"/>
  <c r="K79"/>
  <c r="J79"/>
  <c r="J81" s="1"/>
  <c r="D81"/>
  <c r="D283"/>
  <c r="I283"/>
  <c r="I118"/>
  <c r="I269" s="1"/>
  <c r="I119"/>
  <c r="I270" s="1"/>
  <c r="K93"/>
  <c r="J93"/>
  <c r="G61" i="4"/>
  <c r="F74"/>
  <c r="E62"/>
  <c r="D62"/>
  <c r="E280" i="3" l="1"/>
  <c r="E281"/>
  <c r="D280"/>
  <c r="K81"/>
  <c r="D42" i="4" l="1"/>
  <c r="E42"/>
  <c r="F42"/>
  <c r="F283" i="3"/>
  <c r="G283"/>
  <c r="H283"/>
  <c r="K169"/>
  <c r="J169"/>
  <c r="K74"/>
  <c r="J74"/>
  <c r="D75" i="4"/>
  <c r="D118" i="3"/>
  <c r="K244"/>
  <c r="J244"/>
  <c r="E70" l="1"/>
  <c r="K245" l="1"/>
  <c r="J245"/>
  <c r="E282" l="1"/>
  <c r="F282"/>
  <c r="G282"/>
  <c r="H282"/>
  <c r="I282"/>
  <c r="D282"/>
  <c r="K91"/>
  <c r="K282" s="1"/>
  <c r="J91"/>
  <c r="J282" s="1"/>
  <c r="F90"/>
  <c r="G90"/>
  <c r="H90"/>
  <c r="I90"/>
  <c r="E90"/>
  <c r="D90"/>
  <c r="E46" i="4"/>
  <c r="D46"/>
  <c r="I120" i="3"/>
  <c r="I113" s="1"/>
  <c r="I41"/>
  <c r="D179"/>
  <c r="D270" s="1"/>
  <c r="D178"/>
  <c r="D269" s="1"/>
  <c r="D174"/>
  <c r="D263" s="1"/>
  <c r="G51" i="4"/>
  <c r="G49"/>
  <c r="E258" i="3"/>
  <c r="E253" s="1"/>
  <c r="E252" s="1"/>
  <c r="K208"/>
  <c r="D70"/>
  <c r="D284" s="1"/>
  <c r="J53"/>
  <c r="K53"/>
  <c r="K52"/>
  <c r="J52"/>
  <c r="D47"/>
  <c r="K46"/>
  <c r="K45"/>
  <c r="G60" i="4"/>
  <c r="G57"/>
  <c r="F41"/>
  <c r="F40" s="1"/>
  <c r="F20" s="1"/>
  <c r="D281" i="3"/>
  <c r="E265"/>
  <c r="F265"/>
  <c r="G265"/>
  <c r="H265"/>
  <c r="I265"/>
  <c r="D265"/>
  <c r="G82" i="4"/>
  <c r="G81"/>
  <c r="G80"/>
  <c r="G79"/>
  <c r="G78"/>
  <c r="G77"/>
  <c r="G76"/>
  <c r="G75"/>
  <c r="F73"/>
  <c r="E74"/>
  <c r="D74"/>
  <c r="G74" s="1"/>
  <c r="E73"/>
  <c r="D73"/>
  <c r="G72"/>
  <c r="F71"/>
  <c r="E71"/>
  <c r="D71"/>
  <c r="G71" s="1"/>
  <c r="G70"/>
  <c r="F69"/>
  <c r="E69"/>
  <c r="E68" s="1"/>
  <c r="E67" s="1"/>
  <c r="E66" s="1"/>
  <c r="D69"/>
  <c r="G69" s="1"/>
  <c r="G65"/>
  <c r="G64"/>
  <c r="G63"/>
  <c r="G62"/>
  <c r="G56"/>
  <c r="F55"/>
  <c r="E55"/>
  <c r="E54" s="1"/>
  <c r="E53" s="1"/>
  <c r="D55"/>
  <c r="G55" s="1"/>
  <c r="F54"/>
  <c r="F53" s="1"/>
  <c r="D54"/>
  <c r="G52"/>
  <c r="G50"/>
  <c r="G48"/>
  <c r="G47"/>
  <c r="G45"/>
  <c r="G44"/>
  <c r="G43"/>
  <c r="E41"/>
  <c r="G39"/>
  <c r="G38"/>
  <c r="G37"/>
  <c r="G36"/>
  <c r="F35"/>
  <c r="F34" s="1"/>
  <c r="E35"/>
  <c r="E34" s="1"/>
  <c r="D35"/>
  <c r="G35" s="1"/>
  <c r="G33"/>
  <c r="G32"/>
  <c r="G31"/>
  <c r="F30"/>
  <c r="E30"/>
  <c r="D30"/>
  <c r="G30" s="1"/>
  <c r="G29"/>
  <c r="G28"/>
  <c r="F27"/>
  <c r="D27"/>
  <c r="G27" s="1"/>
  <c r="G26"/>
  <c r="G25"/>
  <c r="G24"/>
  <c r="F22"/>
  <c r="E23"/>
  <c r="D23"/>
  <c r="D22" s="1"/>
  <c r="D21" s="1"/>
  <c r="J17" i="3"/>
  <c r="I20"/>
  <c r="I16" s="1"/>
  <c r="I15" s="1"/>
  <c r="D125"/>
  <c r="I47"/>
  <c r="I51"/>
  <c r="I54"/>
  <c r="I65"/>
  <c r="I59" s="1"/>
  <c r="I73"/>
  <c r="I107"/>
  <c r="J18"/>
  <c r="J45"/>
  <c r="J46"/>
  <c r="J48"/>
  <c r="J50"/>
  <c r="J267" s="1"/>
  <c r="J60"/>
  <c r="J61"/>
  <c r="J62"/>
  <c r="J63"/>
  <c r="J64"/>
  <c r="J277" s="1"/>
  <c r="J66"/>
  <c r="J56"/>
  <c r="J71"/>
  <c r="J73" s="1"/>
  <c r="J72"/>
  <c r="J75"/>
  <c r="J57"/>
  <c r="J109"/>
  <c r="J107" s="1"/>
  <c r="J105"/>
  <c r="J95" s="1"/>
  <c r="I159"/>
  <c r="I158" s="1"/>
  <c r="I157" s="1"/>
  <c r="I156" s="1"/>
  <c r="J160"/>
  <c r="J161"/>
  <c r="J164"/>
  <c r="J166"/>
  <c r="J167"/>
  <c r="K160"/>
  <c r="K161"/>
  <c r="K166"/>
  <c r="K167"/>
  <c r="E51"/>
  <c r="E65"/>
  <c r="E73"/>
  <c r="E82"/>
  <c r="J87"/>
  <c r="J83"/>
  <c r="J84"/>
  <c r="J82" s="1"/>
  <c r="K48"/>
  <c r="K50"/>
  <c r="K60"/>
  <c r="K61"/>
  <c r="K62"/>
  <c r="K63"/>
  <c r="K276" s="1"/>
  <c r="K64"/>
  <c r="K277" s="1"/>
  <c r="K66"/>
  <c r="K67"/>
  <c r="K56"/>
  <c r="K68"/>
  <c r="K71"/>
  <c r="K285" s="1"/>
  <c r="K72"/>
  <c r="K70"/>
  <c r="K75"/>
  <c r="K57"/>
  <c r="K83"/>
  <c r="K84"/>
  <c r="K82" s="1"/>
  <c r="E20"/>
  <c r="E107"/>
  <c r="K17"/>
  <c r="K109"/>
  <c r="K107" s="1"/>
  <c r="I125"/>
  <c r="D258"/>
  <c r="D253" s="1"/>
  <c r="D252" s="1"/>
  <c r="D177"/>
  <c r="D180"/>
  <c r="D173" s="1"/>
  <c r="D172" s="1"/>
  <c r="D120"/>
  <c r="D113" s="1"/>
  <c r="D112" s="1"/>
  <c r="D111" s="1"/>
  <c r="D51"/>
  <c r="D65"/>
  <c r="D59" s="1"/>
  <c r="D73"/>
  <c r="D82"/>
  <c r="I262"/>
  <c r="I268"/>
  <c r="I274"/>
  <c r="I273"/>
  <c r="I275"/>
  <c r="I276"/>
  <c r="I277"/>
  <c r="I284"/>
  <c r="I285"/>
  <c r="I286"/>
  <c r="I200"/>
  <c r="I203"/>
  <c r="I210"/>
  <c r="I204" s="1"/>
  <c r="I221"/>
  <c r="I217" s="1"/>
  <c r="I230"/>
  <c r="I233"/>
  <c r="I234"/>
  <c r="I251"/>
  <c r="I247" s="1"/>
  <c r="I258"/>
  <c r="I253" s="1"/>
  <c r="I252" s="1"/>
  <c r="D275"/>
  <c r="E88"/>
  <c r="K88" s="1"/>
  <c r="D88"/>
  <c r="D86" s="1"/>
  <c r="J130"/>
  <c r="K130"/>
  <c r="E284"/>
  <c r="F284"/>
  <c r="G284"/>
  <c r="H284"/>
  <c r="E125"/>
  <c r="E117"/>
  <c r="E105"/>
  <c r="E283" s="1"/>
  <c r="E163"/>
  <c r="E286" s="1"/>
  <c r="D163"/>
  <c r="D159" s="1"/>
  <c r="D158" s="1"/>
  <c r="D157" s="1"/>
  <c r="D156" s="1"/>
  <c r="E134"/>
  <c r="E133" s="1"/>
  <c r="K209"/>
  <c r="K205"/>
  <c r="K206"/>
  <c r="K211"/>
  <c r="K212"/>
  <c r="E197"/>
  <c r="E200" s="1"/>
  <c r="D197"/>
  <c r="J197" s="1"/>
  <c r="J257"/>
  <c r="J256"/>
  <c r="K260"/>
  <c r="J260"/>
  <c r="K255"/>
  <c r="J255"/>
  <c r="K114"/>
  <c r="E262"/>
  <c r="J114"/>
  <c r="E285"/>
  <c r="E277"/>
  <c r="E275"/>
  <c r="E274"/>
  <c r="E273"/>
  <c r="E268"/>
  <c r="E251"/>
  <c r="E247" s="1"/>
  <c r="E234"/>
  <c r="K232"/>
  <c r="E233"/>
  <c r="E230"/>
  <c r="E221"/>
  <c r="E223" s="1"/>
  <c r="E203"/>
  <c r="E185"/>
  <c r="E177"/>
  <c r="K152"/>
  <c r="E145"/>
  <c r="E144"/>
  <c r="E103"/>
  <c r="E104" s="1"/>
  <c r="E98"/>
  <c r="F286"/>
  <c r="G286"/>
  <c r="H286"/>
  <c r="K163"/>
  <c r="K202"/>
  <c r="J201"/>
  <c r="F82"/>
  <c r="G82"/>
  <c r="H82"/>
  <c r="D274"/>
  <c r="H221"/>
  <c r="H217" s="1"/>
  <c r="G221"/>
  <c r="G217" s="1"/>
  <c r="F221"/>
  <c r="F223" s="1"/>
  <c r="D221"/>
  <c r="D217" s="1"/>
  <c r="K220"/>
  <c r="J220"/>
  <c r="K219"/>
  <c r="K221" s="1"/>
  <c r="J219"/>
  <c r="K218"/>
  <c r="J218"/>
  <c r="D234"/>
  <c r="K238"/>
  <c r="J238"/>
  <c r="H238"/>
  <c r="G238"/>
  <c r="F238"/>
  <c r="D233"/>
  <c r="D251"/>
  <c r="D247" s="1"/>
  <c r="K250"/>
  <c r="J250"/>
  <c r="K249"/>
  <c r="K251" s="1"/>
  <c r="J249"/>
  <c r="J251" s="1"/>
  <c r="H251"/>
  <c r="H247" s="1"/>
  <c r="G251"/>
  <c r="G247" s="1"/>
  <c r="F251"/>
  <c r="F247" s="1"/>
  <c r="K248"/>
  <c r="J248"/>
  <c r="G223"/>
  <c r="K222"/>
  <c r="J222"/>
  <c r="K259"/>
  <c r="J259"/>
  <c r="J175"/>
  <c r="J265" s="1"/>
  <c r="F146"/>
  <c r="G146"/>
  <c r="H146"/>
  <c r="I146"/>
  <c r="K151"/>
  <c r="J151"/>
  <c r="J154"/>
  <c r="K154"/>
  <c r="K153"/>
  <c r="J153"/>
  <c r="F86"/>
  <c r="G86"/>
  <c r="H86"/>
  <c r="I86"/>
  <c r="J88"/>
  <c r="D276"/>
  <c r="F95"/>
  <c r="G95"/>
  <c r="H95"/>
  <c r="I95"/>
  <c r="D95"/>
  <c r="F285"/>
  <c r="G285"/>
  <c r="H285"/>
  <c r="D285"/>
  <c r="F276"/>
  <c r="G276"/>
  <c r="H276"/>
  <c r="F275"/>
  <c r="G275"/>
  <c r="H275"/>
  <c r="F277"/>
  <c r="G277"/>
  <c r="H277"/>
  <c r="D277"/>
  <c r="D278" s="1"/>
  <c r="F273"/>
  <c r="G273"/>
  <c r="H273"/>
  <c r="F274"/>
  <c r="G274"/>
  <c r="H274"/>
  <c r="D273"/>
  <c r="H268"/>
  <c r="D268"/>
  <c r="F268"/>
  <c r="F262"/>
  <c r="F264" s="1"/>
  <c r="G262"/>
  <c r="G264" s="1"/>
  <c r="H262"/>
  <c r="H264" s="1"/>
  <c r="F258"/>
  <c r="F253" s="1"/>
  <c r="F252" s="1"/>
  <c r="G258"/>
  <c r="G253" s="1"/>
  <c r="G252" s="1"/>
  <c r="H258"/>
  <c r="H253" s="1"/>
  <c r="H252" s="1"/>
  <c r="K242"/>
  <c r="J242"/>
  <c r="K241"/>
  <c r="J241"/>
  <c r="K240"/>
  <c r="J240"/>
  <c r="K239"/>
  <c r="J239"/>
  <c r="K237"/>
  <c r="J237"/>
  <c r="K236"/>
  <c r="J236"/>
  <c r="K235"/>
  <c r="K234" s="1"/>
  <c r="J235"/>
  <c r="J232"/>
  <c r="K231"/>
  <c r="J231"/>
  <c r="J228"/>
  <c r="K228"/>
  <c r="J229"/>
  <c r="K229"/>
  <c r="K227"/>
  <c r="J227"/>
  <c r="F185"/>
  <c r="G185"/>
  <c r="H185"/>
  <c r="I185"/>
  <c r="D185"/>
  <c r="K182"/>
  <c r="J182"/>
  <c r="F134"/>
  <c r="F133" s="1"/>
  <c r="G134"/>
  <c r="G133" s="1"/>
  <c r="H134"/>
  <c r="H133" s="1"/>
  <c r="I134"/>
  <c r="I133" s="1"/>
  <c r="D134"/>
  <c r="D133" s="1"/>
  <c r="F125"/>
  <c r="G125"/>
  <c r="H125"/>
  <c r="F107"/>
  <c r="G107"/>
  <c r="H107"/>
  <c r="D107"/>
  <c r="K183"/>
  <c r="J183"/>
  <c r="F159"/>
  <c r="F158" s="1"/>
  <c r="F157" s="1"/>
  <c r="F156" s="1"/>
  <c r="G159"/>
  <c r="G158" s="1"/>
  <c r="G157" s="1"/>
  <c r="G156" s="1"/>
  <c r="H159"/>
  <c r="H158" s="1"/>
  <c r="H157" s="1"/>
  <c r="H156" s="1"/>
  <c r="J152"/>
  <c r="J149"/>
  <c r="J189"/>
  <c r="K189"/>
  <c r="J139"/>
  <c r="J127"/>
  <c r="K127"/>
  <c r="K122"/>
  <c r="J122"/>
  <c r="K196"/>
  <c r="K197"/>
  <c r="J196"/>
  <c r="K256"/>
  <c r="K254"/>
  <c r="J162"/>
  <c r="K162"/>
  <c r="K164"/>
  <c r="J128"/>
  <c r="K128"/>
  <c r="F20"/>
  <c r="F16" s="1"/>
  <c r="F15" s="1"/>
  <c r="G20"/>
  <c r="G16" s="1"/>
  <c r="G15" s="1"/>
  <c r="H20"/>
  <c r="H16" s="1"/>
  <c r="H15" s="1"/>
  <c r="I38"/>
  <c r="I39"/>
  <c r="I40"/>
  <c r="J40" s="1"/>
  <c r="D40"/>
  <c r="D39"/>
  <c r="J176"/>
  <c r="K186"/>
  <c r="K174"/>
  <c r="K124"/>
  <c r="E38"/>
  <c r="E40"/>
  <c r="E41"/>
  <c r="E39"/>
  <c r="K39" s="1"/>
  <c r="J131"/>
  <c r="J174"/>
  <c r="J118"/>
  <c r="J124"/>
  <c r="J108"/>
  <c r="J129"/>
  <c r="J187"/>
  <c r="F227"/>
  <c r="G227"/>
  <c r="H227"/>
  <c r="J138"/>
  <c r="K138"/>
  <c r="K134" s="1"/>
  <c r="K133" s="1"/>
  <c r="K139"/>
  <c r="K188"/>
  <c r="K108"/>
  <c r="K129"/>
  <c r="J198"/>
  <c r="J212"/>
  <c r="J213"/>
  <c r="J211"/>
  <c r="J205"/>
  <c r="J215"/>
  <c r="J209"/>
  <c r="J207"/>
  <c r="J206"/>
  <c r="J214"/>
  <c r="K198"/>
  <c r="K201"/>
  <c r="K195"/>
  <c r="K213"/>
  <c r="K215"/>
  <c r="K214"/>
  <c r="J100"/>
  <c r="J101"/>
  <c r="J103" s="1"/>
  <c r="J104" s="1"/>
  <c r="J102"/>
  <c r="J96"/>
  <c r="J97"/>
  <c r="J186"/>
  <c r="J190"/>
  <c r="J135"/>
  <c r="J136"/>
  <c r="J115"/>
  <c r="J116"/>
  <c r="J126"/>
  <c r="J280" s="1"/>
  <c r="J141"/>
  <c r="J142"/>
  <c r="J143"/>
  <c r="K100"/>
  <c r="K101"/>
  <c r="K102"/>
  <c r="K96"/>
  <c r="K97"/>
  <c r="K176"/>
  <c r="K187"/>
  <c r="K190"/>
  <c r="K135"/>
  <c r="K136"/>
  <c r="K115"/>
  <c r="K116"/>
  <c r="K266" s="1"/>
  <c r="K126"/>
  <c r="K131"/>
  <c r="K141"/>
  <c r="K142"/>
  <c r="K144" s="1"/>
  <c r="K143"/>
  <c r="F38"/>
  <c r="F40"/>
  <c r="F41"/>
  <c r="F39"/>
  <c r="F117"/>
  <c r="F120"/>
  <c r="F113" s="1"/>
  <c r="F177"/>
  <c r="F180"/>
  <c r="F145"/>
  <c r="G38"/>
  <c r="G40"/>
  <c r="G41"/>
  <c r="G39"/>
  <c r="G117"/>
  <c r="G120"/>
  <c r="G113" s="1"/>
  <c r="G112" s="1"/>
  <c r="G111" s="1"/>
  <c r="G177"/>
  <c r="G180"/>
  <c r="G145"/>
  <c r="H38"/>
  <c r="H40"/>
  <c r="H41"/>
  <c r="H42" s="1"/>
  <c r="H43" s="1"/>
  <c r="H39"/>
  <c r="H117"/>
  <c r="H120"/>
  <c r="H113" s="1"/>
  <c r="H177"/>
  <c r="H180"/>
  <c r="H145"/>
  <c r="I177"/>
  <c r="I117"/>
  <c r="I145"/>
  <c r="D117"/>
  <c r="D145"/>
  <c r="F200"/>
  <c r="G200"/>
  <c r="H200"/>
  <c r="F144"/>
  <c r="G144"/>
  <c r="H144"/>
  <c r="I144"/>
  <c r="D144"/>
  <c r="F228"/>
  <c r="F230" s="1"/>
  <c r="G228"/>
  <c r="G230" s="1"/>
  <c r="G229"/>
  <c r="H228"/>
  <c r="F229"/>
  <c r="H229"/>
  <c r="F231"/>
  <c r="F233" s="1"/>
  <c r="G231"/>
  <c r="G233" s="1"/>
  <c r="H231"/>
  <c r="H233" s="1"/>
  <c r="F232"/>
  <c r="G232"/>
  <c r="H232"/>
  <c r="F235"/>
  <c r="G235"/>
  <c r="H235"/>
  <c r="F236"/>
  <c r="G236"/>
  <c r="H236"/>
  <c r="F237"/>
  <c r="G237"/>
  <c r="H237"/>
  <c r="F239"/>
  <c r="G239"/>
  <c r="H239"/>
  <c r="F240"/>
  <c r="G240"/>
  <c r="H240"/>
  <c r="F242"/>
  <c r="G242"/>
  <c r="H242"/>
  <c r="D230"/>
  <c r="D226" s="1"/>
  <c r="D225" s="1"/>
  <c r="F47"/>
  <c r="F51"/>
  <c r="F54"/>
  <c r="F65"/>
  <c r="F59" s="1"/>
  <c r="F73"/>
  <c r="G47"/>
  <c r="G51"/>
  <c r="G54"/>
  <c r="G65"/>
  <c r="G59" s="1"/>
  <c r="G73"/>
  <c r="H47"/>
  <c r="H51"/>
  <c r="H54"/>
  <c r="H65"/>
  <c r="H59" s="1"/>
  <c r="H73"/>
  <c r="F203"/>
  <c r="F210"/>
  <c r="F204" s="1"/>
  <c r="G203"/>
  <c r="G210"/>
  <c r="G204" s="1"/>
  <c r="H203"/>
  <c r="H210"/>
  <c r="H204" s="1"/>
  <c r="K31"/>
  <c r="K32"/>
  <c r="K33"/>
  <c r="J31"/>
  <c r="J32"/>
  <c r="J33"/>
  <c r="I34"/>
  <c r="I35" s="1"/>
  <c r="H34"/>
  <c r="H35" s="1"/>
  <c r="G34"/>
  <c r="G35" s="1"/>
  <c r="F34"/>
  <c r="F35" s="1"/>
  <c r="E34"/>
  <c r="E35" s="1"/>
  <c r="D34"/>
  <c r="D35" s="1"/>
  <c r="J24"/>
  <c r="J25"/>
  <c r="J26"/>
  <c r="K24"/>
  <c r="K25"/>
  <c r="K26"/>
  <c r="F98"/>
  <c r="G98"/>
  <c r="H98"/>
  <c r="I98"/>
  <c r="D98"/>
  <c r="F103"/>
  <c r="F104" s="1"/>
  <c r="F27"/>
  <c r="F28" s="1"/>
  <c r="I103"/>
  <c r="I104" s="1"/>
  <c r="H103"/>
  <c r="H104" s="1"/>
  <c r="G103"/>
  <c r="G104" s="1"/>
  <c r="D103"/>
  <c r="D104" s="1"/>
  <c r="E27"/>
  <c r="E28" s="1"/>
  <c r="G27"/>
  <c r="G28" s="1"/>
  <c r="H27"/>
  <c r="H28" s="1"/>
  <c r="I27"/>
  <c r="I28" s="1"/>
  <c r="D27"/>
  <c r="D28" s="1"/>
  <c r="D20"/>
  <c r="D16" s="1"/>
  <c r="D15" s="1"/>
  <c r="J199"/>
  <c r="J195"/>
  <c r="J208"/>
  <c r="D210"/>
  <c r="D204" s="1"/>
  <c r="J202"/>
  <c r="K199"/>
  <c r="D203"/>
  <c r="K175"/>
  <c r="J188"/>
  <c r="G268"/>
  <c r="H230"/>
  <c r="F42"/>
  <c r="F43" s="1"/>
  <c r="D146"/>
  <c r="J254"/>
  <c r="D41"/>
  <c r="K118"/>
  <c r="E276"/>
  <c r="K149"/>
  <c r="K147" s="1"/>
  <c r="D42"/>
  <c r="D38"/>
  <c r="J275"/>
  <c r="E120"/>
  <c r="E113" s="1"/>
  <c r="D41" i="4"/>
  <c r="E217" i="3"/>
  <c r="K265"/>
  <c r="H173"/>
  <c r="H172" s="1"/>
  <c r="F234"/>
  <c r="K230"/>
  <c r="K275"/>
  <c r="J27"/>
  <c r="J28" s="1"/>
  <c r="K87"/>
  <c r="G271"/>
  <c r="J221"/>
  <c r="J223" s="1"/>
  <c r="E16"/>
  <c r="E15" s="1"/>
  <c r="E159"/>
  <c r="E158" s="1"/>
  <c r="E157" s="1"/>
  <c r="E156" s="1"/>
  <c r="K51" l="1"/>
  <c r="K267"/>
  <c r="J38"/>
  <c r="J230"/>
  <c r="J274"/>
  <c r="K73"/>
  <c r="K177"/>
  <c r="J210"/>
  <c r="K27"/>
  <c r="K28" s="1"/>
  <c r="J34"/>
  <c r="J35" s="1"/>
  <c r="K34"/>
  <c r="K35" s="1"/>
  <c r="H194"/>
  <c r="F194"/>
  <c r="H44"/>
  <c r="G44"/>
  <c r="F44"/>
  <c r="G234"/>
  <c r="H112"/>
  <c r="H111" s="1"/>
  <c r="G173"/>
  <c r="G172" s="1"/>
  <c r="G42"/>
  <c r="G43" s="1"/>
  <c r="F173"/>
  <c r="F172" s="1"/>
  <c r="F112"/>
  <c r="F111" s="1"/>
  <c r="K185"/>
  <c r="K98"/>
  <c r="K103"/>
  <c r="K104" s="1"/>
  <c r="J144"/>
  <c r="H287"/>
  <c r="F287"/>
  <c r="K284"/>
  <c r="E22" i="4"/>
  <c r="E21" s="1"/>
  <c r="J204" i="3"/>
  <c r="K263"/>
  <c r="J263"/>
  <c r="J147"/>
  <c r="J146" s="1"/>
  <c r="K274"/>
  <c r="K281"/>
  <c r="K125"/>
  <c r="K280"/>
  <c r="J125"/>
  <c r="E112"/>
  <c r="E111" s="1"/>
  <c r="K117"/>
  <c r="J117"/>
  <c r="J266"/>
  <c r="J268" s="1"/>
  <c r="I194"/>
  <c r="I193" s="1"/>
  <c r="I264"/>
  <c r="G54" i="4"/>
  <c r="K200" i="3"/>
  <c r="E42"/>
  <c r="E43" s="1"/>
  <c r="J68"/>
  <c r="J283" s="1"/>
  <c r="D53" i="4"/>
  <c r="K90" i="3"/>
  <c r="J67"/>
  <c r="J281" s="1"/>
  <c r="D272"/>
  <c r="H234"/>
  <c r="G194"/>
  <c r="K145"/>
  <c r="J145"/>
  <c r="D43"/>
  <c r="D200"/>
  <c r="D194" s="1"/>
  <c r="D193" s="1"/>
  <c r="D192" s="1"/>
  <c r="K65"/>
  <c r="K59" s="1"/>
  <c r="H223"/>
  <c r="E146"/>
  <c r="J98"/>
  <c r="J134"/>
  <c r="J133" s="1"/>
  <c r="G278"/>
  <c r="G272" s="1"/>
  <c r="H278"/>
  <c r="H272" s="1"/>
  <c r="F278"/>
  <c r="F272" s="1"/>
  <c r="J203"/>
  <c r="J163"/>
  <c r="J286" s="1"/>
  <c r="D286"/>
  <c r="D287" s="1"/>
  <c r="G287"/>
  <c r="K273"/>
  <c r="K233"/>
  <c r="K226" s="1"/>
  <c r="J233"/>
  <c r="J226" s="1"/>
  <c r="J159"/>
  <c r="J158" s="1"/>
  <c r="J157" s="1"/>
  <c r="J156" s="1"/>
  <c r="I287"/>
  <c r="J285"/>
  <c r="I44"/>
  <c r="I22" s="1"/>
  <c r="J262"/>
  <c r="G53" i="4"/>
  <c r="J177" i="3"/>
  <c r="K268"/>
  <c r="J217"/>
  <c r="J276"/>
  <c r="J278" s="1"/>
  <c r="I278"/>
  <c r="I272" s="1"/>
  <c r="K217"/>
  <c r="K223"/>
  <c r="J65"/>
  <c r="K278"/>
  <c r="K286"/>
  <c r="K287" s="1"/>
  <c r="E95"/>
  <c r="E278"/>
  <c r="E272" s="1"/>
  <c r="J185"/>
  <c r="K203"/>
  <c r="K194" s="1"/>
  <c r="K105"/>
  <c r="K283" s="1"/>
  <c r="J234"/>
  <c r="H271"/>
  <c r="F271"/>
  <c r="J86"/>
  <c r="D223"/>
  <c r="I223"/>
  <c r="J247"/>
  <c r="F217"/>
  <c r="I226"/>
  <c r="I225" s="1"/>
  <c r="J90"/>
  <c r="H193"/>
  <c r="K38"/>
  <c r="J51"/>
  <c r="K86"/>
  <c r="D68" i="4"/>
  <c r="D67" s="1"/>
  <c r="D66" s="1"/>
  <c r="D40"/>
  <c r="G40" s="1"/>
  <c r="J258" i="3"/>
  <c r="J253" s="1"/>
  <c r="J252" s="1"/>
  <c r="F193"/>
  <c r="J39"/>
  <c r="K40"/>
  <c r="E226"/>
  <c r="E225" s="1"/>
  <c r="J200"/>
  <c r="I112"/>
  <c r="I111" s="1"/>
  <c r="H22"/>
  <c r="E194"/>
  <c r="E40" i="4"/>
  <c r="K179" i="3"/>
  <c r="J119"/>
  <c r="J120" s="1"/>
  <c r="J113" s="1"/>
  <c r="J112" s="1"/>
  <c r="J111" s="1"/>
  <c r="K119"/>
  <c r="K120" s="1"/>
  <c r="K113" s="1"/>
  <c r="K112" s="1"/>
  <c r="K111" s="1"/>
  <c r="I42"/>
  <c r="I43" s="1"/>
  <c r="J41"/>
  <c r="J42" s="1"/>
  <c r="J43" s="1"/>
  <c r="K19"/>
  <c r="J19"/>
  <c r="K41"/>
  <c r="K18"/>
  <c r="J179"/>
  <c r="J178"/>
  <c r="J269" s="1"/>
  <c r="I180"/>
  <c r="I173" s="1"/>
  <c r="I172" s="1"/>
  <c r="J273"/>
  <c r="G46" i="4"/>
  <c r="G73"/>
  <c r="G23"/>
  <c r="K146" i="3"/>
  <c r="G226"/>
  <c r="G225" s="1"/>
  <c r="D264"/>
  <c r="E287"/>
  <c r="K159"/>
  <c r="K158" s="1"/>
  <c r="K157" s="1"/>
  <c r="K156" s="1"/>
  <c r="F22"/>
  <c r="G22"/>
  <c r="G193"/>
  <c r="H226"/>
  <c r="F226"/>
  <c r="E86"/>
  <c r="F68" i="4"/>
  <c r="F67" s="1"/>
  <c r="E180" i="3"/>
  <c r="E173" s="1"/>
  <c r="E172" s="1"/>
  <c r="K257"/>
  <c r="K258" s="1"/>
  <c r="K253" s="1"/>
  <c r="K252" s="1"/>
  <c r="K178"/>
  <c r="E210"/>
  <c r="E204" s="1"/>
  <c r="K207"/>
  <c r="K210" s="1"/>
  <c r="K204" s="1"/>
  <c r="J70"/>
  <c r="J284" s="1"/>
  <c r="E59"/>
  <c r="E54"/>
  <c r="K54"/>
  <c r="E271"/>
  <c r="J54"/>
  <c r="D54"/>
  <c r="J47"/>
  <c r="K262"/>
  <c r="K47"/>
  <c r="E47"/>
  <c r="E264"/>
  <c r="G41" i="4"/>
  <c r="G42"/>
  <c r="F21"/>
  <c r="G22"/>
  <c r="K247" i="3"/>
  <c r="D34" i="4"/>
  <c r="G34" s="1"/>
  <c r="E20" l="1"/>
  <c r="E18" s="1"/>
  <c r="J59" i="3"/>
  <c r="G21" i="4"/>
  <c r="K269" i="3"/>
  <c r="J194"/>
  <c r="J193" s="1"/>
  <c r="K270"/>
  <c r="J287"/>
  <c r="K44"/>
  <c r="K23" s="1"/>
  <c r="K22" s="1"/>
  <c r="J20"/>
  <c r="J16" s="1"/>
  <c r="J15" s="1"/>
  <c r="J270"/>
  <c r="J271" s="1"/>
  <c r="D288"/>
  <c r="D171"/>
  <c r="K272"/>
  <c r="J225"/>
  <c r="G192"/>
  <c r="G288" s="1"/>
  <c r="G289" s="1"/>
  <c r="G68" i="4"/>
  <c r="K180" i="3"/>
  <c r="K173" s="1"/>
  <c r="K172" s="1"/>
  <c r="D44"/>
  <c r="D22" s="1"/>
  <c r="J264"/>
  <c r="H225"/>
  <c r="H192" s="1"/>
  <c r="K95"/>
  <c r="D20" i="4"/>
  <c r="D18" s="1"/>
  <c r="F14" i="3"/>
  <c r="G14"/>
  <c r="F225"/>
  <c r="F192" s="1"/>
  <c r="H14"/>
  <c r="J180"/>
  <c r="J173" s="1"/>
  <c r="J172" s="1"/>
  <c r="I14"/>
  <c r="E193"/>
  <c r="E192" s="1"/>
  <c r="J272"/>
  <c r="I271"/>
  <c r="K42"/>
  <c r="K43" s="1"/>
  <c r="I192"/>
  <c r="K20"/>
  <c r="K16" s="1"/>
  <c r="K15" s="1"/>
  <c r="K264"/>
  <c r="K225"/>
  <c r="J44"/>
  <c r="K193"/>
  <c r="D271"/>
  <c r="D289" s="1"/>
  <c r="E44"/>
  <c r="G67" i="4"/>
  <c r="F66"/>
  <c r="G66" s="1"/>
  <c r="J192" i="3" l="1"/>
  <c r="J288" s="1"/>
  <c r="J289" s="1"/>
  <c r="D14"/>
  <c r="G20" i="4"/>
  <c r="H288" i="3"/>
  <c r="H289" s="1"/>
  <c r="H171"/>
  <c r="G171"/>
  <c r="F288"/>
  <c r="F289" s="1"/>
  <c r="F171"/>
  <c r="E14"/>
  <c r="J23"/>
  <c r="J22" s="1"/>
  <c r="D24" i="2"/>
  <c r="K271" i="3"/>
  <c r="K14"/>
  <c r="I171"/>
  <c r="I288"/>
  <c r="I289" s="1"/>
  <c r="E24" i="2" s="1"/>
  <c r="E171" i="3"/>
  <c r="E288"/>
  <c r="E289" s="1"/>
  <c r="K192"/>
  <c r="K288" s="1"/>
  <c r="F18" i="4"/>
  <c r="E23" i="2" s="1"/>
  <c r="D23"/>
  <c r="J171" i="3" l="1"/>
  <c r="E22"/>
  <c r="K289"/>
  <c r="J14"/>
  <c r="D13" i="2"/>
  <c r="G18" i="4"/>
  <c r="K171" i="3"/>
  <c r="L12" i="2"/>
  <c r="E13" l="1"/>
  <c r="I13" s="1"/>
  <c r="E21"/>
</calcChain>
</file>

<file path=xl/sharedStrings.xml><?xml version="1.0" encoding="utf-8"?>
<sst xmlns="http://schemas.openxmlformats.org/spreadsheetml/2006/main" count="759" uniqueCount="470">
  <si>
    <t>Месячный отчет об исполнении бюджета</t>
  </si>
  <si>
    <t>на 01.05.05</t>
  </si>
  <si>
    <t>Периодичность: месячная</t>
  </si>
  <si>
    <t>Единица измерения: руб.</t>
  </si>
  <si>
    <t>Наименование показателя</t>
  </si>
  <si>
    <t>Исполнено</t>
  </si>
  <si>
    <t>Неисполненные назначения</t>
  </si>
  <si>
    <t>2. Расходы бюджета</t>
  </si>
  <si>
    <t>Код расхода по ФКР (Р/ПР, ЦСР, ВР),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</si>
  <si>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</si>
  <si>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</si>
  <si>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ассигнованиям</t>
  </si>
  <si>
    <t>по лимитам бюджетных обязательств</t>
  </si>
  <si>
    <t>Форма по ОКУД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</si>
  <si>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</si>
  <si>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</si>
  <si>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</si>
  <si>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</si>
  <si>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</si>
  <si>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</si>
  <si>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</si>
  <si>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</si>
  <si>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Перечисления другим бюджетам бюджетной системы Российской Федерации</t>
  </si>
  <si>
    <t>ВСЕГО</t>
  </si>
  <si>
    <t xml:space="preserve">Заработная плата </t>
  </si>
  <si>
    <t>оплата труда работников по  ЕТС</t>
  </si>
  <si>
    <t>на компенсацию расходов по оплате стоимости проезда и провоза багажа к месту использования отпуска и обратно</t>
  </si>
  <si>
    <t>суточные при служебных командировках и командировках на курсы повышения квалификации</t>
  </si>
  <si>
    <t>потребление электроэнергии</t>
  </si>
  <si>
    <t>водоснабжение</t>
  </si>
  <si>
    <t>прочих расходных материалов и предметов снабжения</t>
  </si>
  <si>
    <t>Увеличение стоимости материальных запасов - ГСМ</t>
  </si>
  <si>
    <t>Коммун. услуги в потребление тепловой энергии</t>
  </si>
  <si>
    <t>02030013600500212010</t>
  </si>
  <si>
    <t>код строки</t>
  </si>
  <si>
    <t>2</t>
  </si>
  <si>
    <t>07094529900001310000</t>
  </si>
  <si>
    <t>3. Источники финансирования дефицитов бюджетов</t>
  </si>
  <si>
    <t xml:space="preserve"> Наименование показателя</t>
  </si>
  <si>
    <t>Код
стро-
ки</t>
  </si>
  <si>
    <t>Код источника финансирования
по КИВФ, КИВнФ</t>
  </si>
  <si>
    <t>Утвержденные бюджетные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</si>
  <si>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</si>
  <si>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</si>
  <si>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</si>
  <si>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</si>
  <si>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</si>
  <si>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3</t>
  </si>
  <si>
    <t>Источники финансирования дефицита бюджетов - всего</t>
  </si>
  <si>
    <t>х</t>
  </si>
  <si>
    <t>-</t>
  </si>
  <si>
    <t>в том числе:</t>
  </si>
  <si>
    <t>Источники внутреннего финансирования бюджетов</t>
  </si>
  <si>
    <t xml:space="preserve">   из них:</t>
  </si>
  <si>
    <t>Источники внешнего финансирования бюджетов</t>
  </si>
  <si>
    <t xml:space="preserve">   из них</t>
  </si>
  <si>
    <t>Изменение остатков средств</t>
  </si>
  <si>
    <t>Изменение остатков по расчетам          (стр.810 + 820)</t>
  </si>
  <si>
    <t>изменение остатков по расчетам с органами, организующими исполнение бюджетов
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</si>
  <si>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</si>
  <si>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</si>
  <si>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стр. 822)</t>
  </si>
  <si>
    <t xml:space="preserve">  в том числе:</t>
  </si>
  <si>
    <t>увеличение остатков по внутренним расчетам</t>
  </si>
  <si>
    <t xml:space="preserve">уменьшение остатков по внутренним расчетам </t>
  </si>
  <si>
    <t>Глава администрации</t>
  </si>
  <si>
    <t>Главный бухгалтер</t>
  </si>
  <si>
    <t>А.Н. Саенко</t>
  </si>
  <si>
    <t>03145224891500310000</t>
  </si>
  <si>
    <t>03149224801500310000</t>
  </si>
  <si>
    <t>СВОД</t>
  </si>
  <si>
    <t>211010</t>
  </si>
  <si>
    <t>211020</t>
  </si>
  <si>
    <t>212010</t>
  </si>
  <si>
    <t>212020</t>
  </si>
  <si>
    <t>213010</t>
  </si>
  <si>
    <t>213020</t>
  </si>
  <si>
    <t>222000</t>
  </si>
  <si>
    <t>223010</t>
  </si>
  <si>
    <t>223020</t>
  </si>
  <si>
    <t>223030</t>
  </si>
  <si>
    <t>225020</t>
  </si>
  <si>
    <t>290000</t>
  </si>
  <si>
    <t>310000</t>
  </si>
  <si>
    <t>340030</t>
  </si>
  <si>
    <t>340050</t>
  </si>
  <si>
    <t>251000</t>
  </si>
  <si>
    <t>остаток    на конец отч.периода</t>
  </si>
  <si>
    <t>итого  213</t>
  </si>
  <si>
    <t>итого 211</t>
  </si>
  <si>
    <t>итого 212</t>
  </si>
  <si>
    <t>итого 223</t>
  </si>
  <si>
    <t>итого 340</t>
  </si>
  <si>
    <t>итого 213</t>
  </si>
  <si>
    <t>О.Н. Башкирова</t>
  </si>
  <si>
    <t>05036000500500225020</t>
  </si>
  <si>
    <t>01028770101500211010</t>
  </si>
  <si>
    <t>01028770101500213010</t>
  </si>
  <si>
    <t>01028770101500213020</t>
  </si>
  <si>
    <t>01020000000500211010</t>
  </si>
  <si>
    <t>01020000000500212010</t>
  </si>
  <si>
    <t>01020000000500213010</t>
  </si>
  <si>
    <t>01020000000500213020</t>
  </si>
  <si>
    <t>Итого 0102 8770101:</t>
  </si>
  <si>
    <t>01048770101500211010</t>
  </si>
  <si>
    <t>01048770101500213010</t>
  </si>
  <si>
    <t>01048770101500213020</t>
  </si>
  <si>
    <t>ВСЕГО по разделу 01 02</t>
  </si>
  <si>
    <t>СВОД 0102</t>
  </si>
  <si>
    <t>08014409201001241021</t>
  </si>
  <si>
    <t xml:space="preserve"> - страховые взносы в федеральный бюджет (22%)</t>
  </si>
  <si>
    <t xml:space="preserve"> - страховые взносы в прочие фонды (8,2%)</t>
  </si>
  <si>
    <t>Прочих расходных материалов и предметов снабжения</t>
  </si>
  <si>
    <t>241000</t>
  </si>
  <si>
    <t>225010</t>
  </si>
  <si>
    <t>Прочие расходы (Резервный фонд)</t>
  </si>
  <si>
    <t>04070700400013226000</t>
  </si>
  <si>
    <t>с 01.10.2012</t>
  </si>
  <si>
    <t>01045226202500225020</t>
  </si>
  <si>
    <t>01047956015500225020</t>
  </si>
  <si>
    <t>04070700400013340030</t>
  </si>
  <si>
    <t>04070700400013340050</t>
  </si>
  <si>
    <t>ВСЕГО 0407</t>
  </si>
  <si>
    <t>01028650000500211010</t>
  </si>
  <si>
    <t>01028650000500213010</t>
  </si>
  <si>
    <t>01028650000500213020</t>
  </si>
  <si>
    <t>Итого 0102 8650000:</t>
  </si>
  <si>
    <t>Итого 0104 8770101500:</t>
  </si>
  <si>
    <t>прочие</t>
  </si>
  <si>
    <t>0310</t>
  </si>
  <si>
    <t>остаток  на 01.01.13</t>
  </si>
  <si>
    <t>01130447514244310000</t>
  </si>
  <si>
    <t>02030445118122226000</t>
  </si>
  <si>
    <t>02030445118244310000</t>
  </si>
  <si>
    <t>08010110061611241023</t>
  </si>
  <si>
    <t>08010110061611241120</t>
  </si>
  <si>
    <t>08010120061611241082</t>
  </si>
  <si>
    <t>08010120061611241120</t>
  </si>
  <si>
    <t xml:space="preserve">Прочие услуги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</si>
  <si>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</si>
  <si>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</si>
  <si>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</si>
  <si>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</si>
  <si>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</si>
  <si>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</si>
  <si>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0409</t>
  </si>
  <si>
    <t>НАЦИОНАЛЬНАЯ БЕЗОПАСНОСТЬ И ПРАВООХРАНИТЕЛЬНАЯ ДЕЯТЕЛЬНОСТЬ</t>
  </si>
  <si>
    <t>Обеспечение пожарной безопасности</t>
  </si>
  <si>
    <t>Оплата работ, услуг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</si>
  <si>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</si>
  <si>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</si>
  <si>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</si>
  <si>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</si>
  <si>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</si>
  <si>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Другие вопросы в области культуры, кинематографии</t>
  </si>
  <si>
    <t>Поступление нефинансовых активов</t>
  </si>
  <si>
    <t>Оплата труда и начисления на выплаты по оплате труда</t>
  </si>
  <si>
    <t>Начисления на выплаты по оплате труда</t>
  </si>
  <si>
    <t>Прочие выплаты</t>
  </si>
  <si>
    <t xml:space="preserve">000 0503 0000000 000 220 </t>
  </si>
  <si>
    <t xml:space="preserve">000 0503 0000000 000 000 </t>
  </si>
  <si>
    <t xml:space="preserve">000 0500 0000000 000 000 </t>
  </si>
  <si>
    <t xml:space="preserve">000 0800 0000000 000 000 </t>
  </si>
  <si>
    <t xml:space="preserve">000 0804 0000000 000 000 </t>
  </si>
  <si>
    <t xml:space="preserve">000 0804 0000000 000 210 </t>
  </si>
  <si>
    <t xml:space="preserve">000 0104 0000000 000 220 </t>
  </si>
  <si>
    <t>Увеличение стоимости материальных запасов</t>
  </si>
  <si>
    <t>Обеспечение деятельности (оказание услуг) подведомственных учреждений в рамках подпрограммы "  "Создание уловий для организации досуга и обеспечение жителей сельсовета услугами организации культуры" муниципальной программы  "Развитие культуры  муниципального образования Недокурский  сельсовет" на 2014-2016 годы</t>
  </si>
  <si>
    <t>Обеспечение деятельности (оказание услуг) подведомственных учреждений в рамках подпрограммы    "Организация  и развитие  библиотечного обслуживания населения,  обеспечение  прав граждан на свободный доступ к информации" муниципальной программы"Развитие культуры  муниципального  образования Недокурский сельсовет "на 2014-2016 годы</t>
  </si>
  <si>
    <t>Культура</t>
  </si>
  <si>
    <t>0801</t>
  </si>
  <si>
    <t>Резервный фонд</t>
  </si>
  <si>
    <t>0111</t>
  </si>
  <si>
    <t>0113</t>
  </si>
  <si>
    <t>02</t>
  </si>
  <si>
    <t>0203</t>
  </si>
  <si>
    <t>03</t>
  </si>
  <si>
    <t>04</t>
  </si>
  <si>
    <t>Физическая культура и спорт</t>
  </si>
  <si>
    <t>Массовый спорт</t>
  </si>
  <si>
    <t>1102</t>
  </si>
  <si>
    <t>11</t>
  </si>
  <si>
    <t>0104</t>
  </si>
  <si>
    <t>01</t>
  </si>
  <si>
    <t>Софинансирование расходов по энергосбережению и повышению энергетической эффективности в рамках подпрограммы  "Энергосбережение и повышение энергетической эффективности на территории муниципального образования Недокурский сельсовет" на 2014-2016 годы муниципальной программы «Улучшение жизнедеятельности населения муниципального образования Недокурский сельсовет» на 2014-2016 годы</t>
  </si>
  <si>
    <t>Увеличение стоимости материальных запасов (прочих расходных материалов и предметов снабжения)</t>
  </si>
  <si>
    <t>0102 0410022 121 211010</t>
  </si>
  <si>
    <t>0102 0410022 121 213010</t>
  </si>
  <si>
    <t>0102 0410022 121 213020</t>
  </si>
  <si>
    <t>0104 0410021 121 211010</t>
  </si>
  <si>
    <t>0104 0410021 121 211020</t>
  </si>
  <si>
    <t>0104 0410021 122 212010</t>
  </si>
  <si>
    <t>0104 0410021 122 212020</t>
  </si>
  <si>
    <t>0104 0410021 121 213010</t>
  </si>
  <si>
    <t>0104 0410021 121 213020</t>
  </si>
  <si>
    <t>0104 0410021 122 222000</t>
  </si>
  <si>
    <t>0104 0410021 244 222000</t>
  </si>
  <si>
    <t>0104 0410021 244 223010</t>
  </si>
  <si>
    <t>0104 0410021 244 223020</t>
  </si>
  <si>
    <t>0104 0410021 244 223030</t>
  </si>
  <si>
    <t>0104 0410021 244 225020</t>
  </si>
  <si>
    <t>0104 0410021 244 290000</t>
  </si>
  <si>
    <t>0104 0410021 244 340030</t>
  </si>
  <si>
    <t>0104 0410021 244 340050</t>
  </si>
  <si>
    <t>0104 0410021 852 290000</t>
  </si>
  <si>
    <t>0111 0431011 870 290000</t>
  </si>
  <si>
    <t>0113 0447514 244 340050</t>
  </si>
  <si>
    <t>0203 0445118 121 211010</t>
  </si>
  <si>
    <t>0203 0445118 122 212020</t>
  </si>
  <si>
    <t>0203 0445118 121 213010</t>
  </si>
  <si>
    <t>0203 0445118 121 213020</t>
  </si>
  <si>
    <t>0203 0445118 122 222000</t>
  </si>
  <si>
    <t>0203 0445118 244 225020</t>
  </si>
  <si>
    <t>0203 0445118 244 340050</t>
  </si>
  <si>
    <t>0409 0327508 244 225020</t>
  </si>
  <si>
    <t>0503 0334901 244 223020</t>
  </si>
  <si>
    <t>0804 0134403 112 212010</t>
  </si>
  <si>
    <t>0804 0134403 111 211020</t>
  </si>
  <si>
    <t>0804 0134403 112 212020</t>
  </si>
  <si>
    <t>0804 0134403 111 213010</t>
  </si>
  <si>
    <t>0804 0134403 111 213020</t>
  </si>
  <si>
    <t>0804 0134403 112 222000</t>
  </si>
  <si>
    <t>0804 0134403 244 225020</t>
  </si>
  <si>
    <t>0804 0134403 244 340050</t>
  </si>
  <si>
    <t>0801 0110061 611 241021</t>
  </si>
  <si>
    <t>0801 0110061 611 241010</t>
  </si>
  <si>
    <t>0801 0110061 611 241022</t>
  </si>
  <si>
    <t>0801 0110061 611 241031</t>
  </si>
  <si>
    <t>0801 0110061 611 241032</t>
  </si>
  <si>
    <t>0801 0110061 611 241040</t>
  </si>
  <si>
    <t>0801 0110061 611 241050</t>
  </si>
  <si>
    <t>0801 0110061 611 241061</t>
  </si>
  <si>
    <t>0801 0110061 611 241062</t>
  </si>
  <si>
    <t>0801 0110061 611 241063</t>
  </si>
  <si>
    <t>0801 0110061 611 241082</t>
  </si>
  <si>
    <t>0801 0110061 611 241090</t>
  </si>
  <si>
    <t>0801 0110061 611 241110</t>
  </si>
  <si>
    <t>0801 0110061 611 241135</t>
  </si>
  <si>
    <t>0801 0120061 611 241010</t>
  </si>
  <si>
    <t>0801 0120061 611 241021</t>
  </si>
  <si>
    <t>0801 0120061 611 241022</t>
  </si>
  <si>
    <t>0801 0120061 611 241031</t>
  </si>
  <si>
    <t>0801 0120061 611 241032</t>
  </si>
  <si>
    <t>0801 0120061 611 241040</t>
  </si>
  <si>
    <t>0801 0120061 611 241050</t>
  </si>
  <si>
    <t>0801 0120061 611 241090</t>
  </si>
  <si>
    <t>0801 0120061 611 241110</t>
  </si>
  <si>
    <t>0801 0120061 611 241135</t>
  </si>
  <si>
    <t>1102 0200061 611 241010</t>
  </si>
  <si>
    <t>1102 0200061 611 241031</t>
  </si>
  <si>
    <t>1102 0200061 611 241032</t>
  </si>
  <si>
    <t>0104 0344932 244 226010</t>
  </si>
  <si>
    <t>0104 0344936 244 226010</t>
  </si>
  <si>
    <t>0104 0410021 122 226010</t>
  </si>
  <si>
    <t>0104 0410021 244 221010</t>
  </si>
  <si>
    <t>0104 0410021 244 226010</t>
  </si>
  <si>
    <t>0203 0445118 122 226010</t>
  </si>
  <si>
    <t>0203 0445118 244 226010</t>
  </si>
  <si>
    <t>0310 0314931 244 226010</t>
  </si>
  <si>
    <t>0310 0314934 244 226010</t>
  </si>
  <si>
    <t>0503 0334905 244 226010</t>
  </si>
  <si>
    <t>0503 0334904 244 226010</t>
  </si>
  <si>
    <t>0804 0134403 112 226010</t>
  </si>
  <si>
    <t>0804 0134403 244 221010</t>
  </si>
  <si>
    <t>0804 0134403 244 226010</t>
  </si>
  <si>
    <t>0409 0324908 244 225020</t>
  </si>
  <si>
    <t>0409 0327508 244 226010</t>
  </si>
  <si>
    <t>226010</t>
  </si>
  <si>
    <t>221010</t>
  </si>
  <si>
    <t>0409 0324933 244 225020</t>
  </si>
  <si>
    <t>0104 0410021</t>
  </si>
  <si>
    <t>Функционирование органов местного самоуправления</t>
  </si>
  <si>
    <t xml:space="preserve"> 0102 0000000 000 210 </t>
  </si>
  <si>
    <t>Итого Начисления на выплаты по оплате труда</t>
  </si>
  <si>
    <t>0801 0111021 611 241032</t>
  </si>
  <si>
    <t>0801 0121021 611 241010</t>
  </si>
  <si>
    <t>0801 0121021 611 241031</t>
  </si>
  <si>
    <t>0801 0121021 611 241032</t>
  </si>
  <si>
    <t>0801 0120061 611 241082</t>
  </si>
  <si>
    <t>Итого МРОТ</t>
  </si>
  <si>
    <t>1102 0200061 611 241090</t>
  </si>
  <si>
    <t>0104 0444936 244 226010</t>
  </si>
  <si>
    <t>0104 0447502 244 226010</t>
  </si>
  <si>
    <t>0503 0337741 244 226010</t>
  </si>
  <si>
    <t>0503 0334938 244 226010</t>
  </si>
  <si>
    <t>10001050201100000510</t>
  </si>
  <si>
    <t>10001050201100000610</t>
  </si>
  <si>
    <t>0503 0334905 244 340050</t>
  </si>
  <si>
    <t>0203 0445118 244 310000</t>
  </si>
  <si>
    <t xml:space="preserve">                        Форма 0503127  с.3</t>
  </si>
  <si>
    <t>0104 0410021 244 310000</t>
  </si>
  <si>
    <t>1102 0200061 611 241022</t>
  </si>
  <si>
    <t>1102 0200061 611 241110</t>
  </si>
  <si>
    <t>0503</t>
  </si>
  <si>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</si>
  <si>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</si>
  <si>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</si>
  <si>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</si>
  <si>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</si>
  <si>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</si>
  <si>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>Финансовое управление администрации Кежемского района</t>
  </si>
  <si>
    <t xml:space="preserve">    Глава по БК</t>
  </si>
  <si>
    <t>Наименование публично-правового образования:</t>
  </si>
  <si>
    <t>Бюджет Недокурского сельсовета Кежемского района</t>
  </si>
  <si>
    <t>по ОКТМО</t>
  </si>
  <si>
    <t>Периодичность: годовая</t>
  </si>
  <si>
    <t xml:space="preserve">             по ОКЕИ</t>
  </si>
  <si>
    <t xml:space="preserve">                                 1. Доходы бюджета</t>
  </si>
  <si>
    <t>Код строки</t>
  </si>
  <si>
    <t>Код дохода по бюджетной классификации</t>
  </si>
  <si>
    <t xml:space="preserve">Утвержденные бюджетные назначения на год </t>
  </si>
  <si>
    <t xml:space="preserve">Утвержденные бюджетные назначения на квартал </t>
  </si>
  <si>
    <t>Доходы бюджета - всего</t>
  </si>
  <si>
    <t>X</t>
  </si>
  <si>
    <t>НАЛОГОВЫЕ И НЕНАЛОГОВЫЕ ДОХОДЫ</t>
  </si>
  <si>
    <t>000 10000000000000 000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</si>
  <si>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</si>
  <si>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</si>
  <si>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</si>
  <si>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</si>
  <si>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и проценты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</si>
  <si>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</si>
  <si>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</si>
  <si>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</si>
  <si>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</si>
  <si>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(сумма денежныхвзысканий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</si>
  <si>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</si>
  <si>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</si>
  <si>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</si>
  <si>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</si>
  <si>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</si>
  <si>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</si>
  <si>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Налог на имущество физических лиц, взимаемый по ставкам , применяемым к объектам налогообложения, расположенным в границах поселений (прочие поступления)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</si>
  <si>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</si>
  <si>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</si>
  <si>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</si>
  <si>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</si>
  <si>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</si>
  <si>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</si>
  <si>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Доходы от использования имущества, находящегося в государственной муниципальной собственности</t>
  </si>
  <si>
    <t>Невыясненные доходы бюджетов поселений</t>
  </si>
  <si>
    <t>Прочие неналоговые доходы бюджетов поселений</t>
  </si>
  <si>
    <t>Средства самообложения граждан,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</si>
  <si>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</si>
  <si>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</si>
  <si>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</si>
  <si>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</si>
  <si>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</si>
  <si>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</si>
  <si>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</si>
  <si>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</si>
  <si>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</t>
  </si>
  <si>
    <t>Иные межбюджетные трансферты на реализацию Закона края от 23 апреля 2009 года №8-3170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 на 2014 год и плановый период 2015-2016 годов</t>
  </si>
  <si>
    <t>Межбюджетные трансферты на государственную поддержку действующих и вновь создаваемых спортивных клубов по месту жительства граждан</t>
  </si>
  <si>
    <t>Межбюджетные трансферты на переселение граждан из аварийного жилищного фонда в муниципальных образованиях Красноярского края на 2013-2015 годы</t>
  </si>
  <si>
    <t>Межбюджетные трансферты на  энергосбережение и повышение энергетической эффективности в Красноярском крае на 2010-2012 г. и на период до 2020 г. в части расходов на реализацию мероприятий по энергосбережению и повышению энергетической эффективности   в связи с достижением наилучших показателей в области энергосбережения</t>
  </si>
  <si>
    <t xml:space="preserve">Межбюджетные трансферты 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 «Дороги Красноярья» государственной программы Красноярского края «Развитие транспортной системы Красноярского края» </t>
  </si>
  <si>
    <t>Межбюджетные трансферты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</si>
  <si>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Межбюдетные трансферты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</si>
  <si>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0503127</t>
  </si>
  <si>
    <t/>
  </si>
  <si>
    <t>900</t>
  </si>
  <si>
    <t>04624407</t>
  </si>
  <si>
    <t>383</t>
  </si>
  <si>
    <t>4</t>
  </si>
  <si>
    <t>5</t>
  </si>
  <si>
    <t>6</t>
  </si>
  <si>
    <t>010</t>
  </si>
  <si>
    <t>182 10100000000000 000</t>
  </si>
  <si>
    <t>182 10102000010000 110</t>
  </si>
  <si>
    <t>182 10102010010000 110</t>
  </si>
  <si>
    <t>182 10102010011000 110</t>
  </si>
  <si>
    <t>182 10102010012000 110</t>
  </si>
  <si>
    <t>182 10102010013000 110</t>
  </si>
  <si>
    <t>182 10102020010000 110</t>
  </si>
  <si>
    <t>182 10102020011000 110</t>
  </si>
  <si>
    <t>182 10102020012000 110</t>
  </si>
  <si>
    <t>182 10102030010000 110</t>
  </si>
  <si>
    <t>182 10102030011000 110</t>
  </si>
  <si>
    <t>182 10102030012000 110</t>
  </si>
  <si>
    <t>182 10102030013000 110</t>
  </si>
  <si>
    <t>100 10300000000000 000</t>
  </si>
  <si>
    <t>100 10302000010000 110</t>
  </si>
  <si>
    <t>100 10302230010000 110</t>
  </si>
  <si>
    <t>100 10302240010000 110</t>
  </si>
  <si>
    <t>100 10302250010000 110</t>
  </si>
  <si>
    <t>100 10302260010000 110</t>
  </si>
  <si>
    <t>182 10600000000000 000</t>
  </si>
  <si>
    <t>182 10601000000000 110</t>
  </si>
  <si>
    <t>182 10601030100000 110</t>
  </si>
  <si>
    <t>182 10601030101000 110</t>
  </si>
  <si>
    <t>182 10601030104000 110</t>
  </si>
  <si>
    <t>182 10606000000000 110</t>
  </si>
  <si>
    <t>182 10606013102000 110</t>
  </si>
  <si>
    <t>807 10800000000000 000</t>
  </si>
  <si>
    <t>807 10804000010000 110</t>
  </si>
  <si>
    <t>807 10804020010000 110</t>
  </si>
  <si>
    <t>807 10804020011000 110</t>
  </si>
  <si>
    <t>903 11105013101000 120</t>
  </si>
  <si>
    <t>807 11701050100000 180</t>
  </si>
  <si>
    <t>807 11705050100000 180</t>
  </si>
  <si>
    <t>807 11714030100000 180</t>
  </si>
  <si>
    <t>807 20000000000000 000</t>
  </si>
  <si>
    <t>807 20200000000000 000</t>
  </si>
  <si>
    <t>807 20201000000000 151</t>
  </si>
  <si>
    <t>807 20201001000000 151</t>
  </si>
  <si>
    <t>807 20201001100000 151</t>
  </si>
  <si>
    <t>807 20201003000000 151</t>
  </si>
  <si>
    <t>807 20201003100000 151</t>
  </si>
  <si>
    <t>807 20203000000000 151</t>
  </si>
  <si>
    <t>807 20203001500000 151</t>
  </si>
  <si>
    <t>807 20203001510000 151</t>
  </si>
  <si>
    <t>807 20204999100008 151</t>
  </si>
  <si>
    <t>807 20204999100036 151</t>
  </si>
  <si>
    <t>807 20204999100039 151</t>
  </si>
  <si>
    <t>807 20204999100040 151</t>
  </si>
  <si>
    <t>807 20204999100042 151</t>
  </si>
  <si>
    <t>807 20204999100045 151</t>
  </si>
  <si>
    <t>807 20204999100046 151</t>
  </si>
  <si>
    <r>
      <rPr>
        <b/>
        <sz val="10"/>
        <rFont val="Times New Roman"/>
        <family val="1"/>
        <charset val="204"/>
      </rPr>
      <t>Непрограмные расходы</t>
    </r>
    <r>
      <rPr>
        <sz val="10"/>
        <rFont val="Times New Roman"/>
        <family val="1"/>
        <charset val="204"/>
      </rPr>
      <t xml:space="preserve">  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"Энергосбережение и повышение энергетической эффективности в Красноярском крае государственной программы Красноярского края "Реформирование и модернизация жилищно коммунального хозяйства и повышение энергетической эффективности"</t>
    </r>
  </si>
  <si>
    <t xml:space="preserve">     Форма 0503127  </t>
  </si>
  <si>
    <t>182 10606033101000 110</t>
  </si>
  <si>
    <t>182 10601030102100 110</t>
  </si>
  <si>
    <t>182 10606043101000 110</t>
  </si>
  <si>
    <t>182 10606033102100 110</t>
  </si>
  <si>
    <t>182 10606043102100 110</t>
  </si>
  <si>
    <t>Невыясненные поступления, зачисляемые в бюджеты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</si>
  <si>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</si>
  <si>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</si>
  <si>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</si>
  <si>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</si>
  <si>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</si>
  <si>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</si>
  <si>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182 10904053104000 110</t>
  </si>
  <si>
    <t>900 11701050100000 180</t>
  </si>
  <si>
    <t>0409 0324933 244 226010</t>
  </si>
  <si>
    <t>0106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</si>
  <si>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</si>
  <si>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08010124536611 241120</t>
  </si>
  <si>
    <t>08010124536611 241090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</si>
  <si>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</si>
  <si>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</si>
  <si>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</si>
  <si>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</si>
  <si>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04095486</t>
  </si>
  <si>
    <t>0801 0111021 611 241010</t>
  </si>
  <si>
    <t>0801 0111021 611 241031</t>
  </si>
  <si>
    <t>0104 0410021 831 290000</t>
  </si>
  <si>
    <t>0505</t>
  </si>
  <si>
    <t>Другие вопросы в области жилищно-коммунального хозяйства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</si>
  <si>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денежных взысканий (штрафов) по соответствующему платежу в том числе по отмененному)</t>
  </si>
  <si>
    <t>807 11632000100000 140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</si>
  <si>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</si>
  <si>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неналоговые доходы бюджетов сельских поселений</t>
  </si>
  <si>
    <t>0107 0424912 880 290000</t>
  </si>
  <si>
    <t>0106 0454305 540 251000</t>
  </si>
  <si>
    <t>0104 0411021 121 213010</t>
  </si>
  <si>
    <t>0104 0411021 121 213020</t>
  </si>
  <si>
    <t>0104 0411021 121 211020</t>
  </si>
  <si>
    <t>0104 0410021 122 212030</t>
  </si>
  <si>
    <t>212030</t>
  </si>
  <si>
    <t>0409 0324908 244 226010</t>
  </si>
  <si>
    <t>0505 0464604 244 225020</t>
  </si>
  <si>
    <t>на 01.10.2015 г.</t>
  </si>
  <si>
    <t>161 11633050106000 140</t>
  </si>
  <si>
    <t>Денежные взыскания,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(федеральноые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</si>
  <si>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 федеральные государственные органы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</si>
  <si>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</si>
  <si>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</si>
  <si>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04 октября 2015 г.</t>
  </si>
</sst>
</file>

<file path=xl/styles.xml><?xml version="1.0" encoding="utf-8"?>
<styleSheet xmlns="http://schemas.openxmlformats.org/spreadsheetml/2006/main">
  <numFmts count="4">
    <numFmt numFmtId="164" formatCode="_-* #,##0.00_$_-;\-* #,##0.00_$_-;_-* &quot;-&quot;??_$_-;_-@_-"/>
    <numFmt numFmtId="165" formatCode="000"/>
    <numFmt numFmtId="166" formatCode="dd/mm/yyyy\ &quot;г.&quot;"/>
    <numFmt numFmtId="167" formatCode="?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53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i/>
      <sz val="10"/>
      <color indexed="5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2">
    <xf numFmtId="0" fontId="0" fillId="0" borderId="0" xfId="0"/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Continuous"/>
    </xf>
    <xf numFmtId="0" fontId="4" fillId="0" borderId="0" xfId="0" applyFont="1"/>
    <xf numFmtId="49" fontId="7" fillId="0" borderId="2" xfId="0" applyNumberFormat="1" applyFont="1" applyFill="1" applyBorder="1" applyAlignment="1">
      <alignment horizontal="left" vertical="top"/>
    </xf>
    <xf numFmtId="4" fontId="7" fillId="0" borderId="2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2" fontId="0" fillId="0" borderId="0" xfId="0" applyNumberFormat="1"/>
    <xf numFmtId="2" fontId="9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2" fontId="4" fillId="0" borderId="0" xfId="0" applyNumberFormat="1" applyFont="1"/>
    <xf numFmtId="4" fontId="0" fillId="0" borderId="0" xfId="0" applyNumberFormat="1"/>
    <xf numFmtId="4" fontId="10" fillId="0" borderId="2" xfId="0" applyNumberFormat="1" applyFont="1" applyFill="1" applyBorder="1" applyAlignment="1">
      <alignment horizontal="right" vertical="top"/>
    </xf>
    <xf numFmtId="2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 vertical="top"/>
    </xf>
    <xf numFmtId="0" fontId="7" fillId="0" borderId="0" xfId="0" applyFont="1" applyFill="1"/>
    <xf numFmtId="165" fontId="10" fillId="0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justify" wrapText="1"/>
    </xf>
    <xf numFmtId="49" fontId="8" fillId="0" borderId="2" xfId="0" applyNumberFormat="1" applyFont="1" applyFill="1" applyBorder="1" applyAlignment="1">
      <alignment horizontal="center" vertical="top"/>
    </xf>
    <xf numFmtId="4" fontId="8" fillId="0" borderId="2" xfId="0" applyNumberFormat="1" applyFont="1" applyFill="1" applyBorder="1" applyAlignment="1">
      <alignment horizontal="right" vertical="top"/>
    </xf>
    <xf numFmtId="49" fontId="2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right"/>
    </xf>
    <xf numFmtId="49" fontId="10" fillId="0" borderId="5" xfId="0" applyNumberFormat="1" applyFont="1" applyBorder="1" applyAlignment="1">
      <alignment horizontal="centerContinuous"/>
    </xf>
    <xf numFmtId="166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Continuous"/>
    </xf>
    <xf numFmtId="49" fontId="10" fillId="0" borderId="0" xfId="0" applyNumberFormat="1" applyFont="1" applyAlignment="1">
      <alignment horizontal="center" vertical="center"/>
    </xf>
    <xf numFmtId="49" fontId="10" fillId="0" borderId="8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vertical="top" wrapText="1"/>
    </xf>
    <xf numFmtId="165" fontId="8" fillId="0" borderId="2" xfId="0" applyNumberFormat="1" applyFont="1" applyFill="1" applyBorder="1" applyAlignment="1">
      <alignment horizontal="right" vertical="top"/>
    </xf>
    <xf numFmtId="0" fontId="8" fillId="0" borderId="0" xfId="0" applyFont="1" applyFill="1"/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 vertical="top"/>
    </xf>
    <xf numFmtId="49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/>
    </xf>
    <xf numFmtId="4" fontId="10" fillId="0" borderId="2" xfId="1" applyNumberFormat="1" applyFont="1" applyFill="1" applyBorder="1" applyAlignment="1">
      <alignment horizontal="right" vertical="top"/>
    </xf>
    <xf numFmtId="0" fontId="10" fillId="0" borderId="0" xfId="0" applyFont="1" applyFill="1"/>
    <xf numFmtId="0" fontId="16" fillId="0" borderId="2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49" fontId="7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left" vertical="top"/>
    </xf>
    <xf numFmtId="49" fontId="8" fillId="0" borderId="2" xfId="0" applyNumberFormat="1" applyFont="1" applyFill="1" applyBorder="1" applyAlignment="1">
      <alignment horizontal="center" wrapText="1"/>
    </xf>
    <xf numFmtId="0" fontId="16" fillId="0" borderId="9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/>
    </xf>
    <xf numFmtId="49" fontId="10" fillId="0" borderId="10" xfId="0" applyNumberFormat="1" applyFont="1" applyBorder="1" applyAlignment="1">
      <alignment horizontal="center"/>
    </xf>
    <xf numFmtId="0" fontId="10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justify" wrapText="1"/>
    </xf>
    <xf numFmtId="0" fontId="12" fillId="2" borderId="2" xfId="0" applyFont="1" applyFill="1" applyBorder="1" applyAlignment="1">
      <alignment horizontal="justify"/>
    </xf>
    <xf numFmtId="49" fontId="8" fillId="0" borderId="2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49" fontId="8" fillId="0" borderId="2" xfId="0" applyNumberFormat="1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 vertical="top"/>
    </xf>
    <xf numFmtId="49" fontId="10" fillId="0" borderId="11" xfId="0" applyNumberFormat="1" applyFont="1" applyBorder="1" applyAlignment="1">
      <alignment horizontal="left" wrapText="1"/>
    </xf>
    <xf numFmtId="165" fontId="7" fillId="0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center" vertical="top"/>
    </xf>
    <xf numFmtId="49" fontId="7" fillId="0" borderId="2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7" fillId="0" borderId="0" xfId="0" applyFont="1" applyFill="1"/>
    <xf numFmtId="49" fontId="10" fillId="0" borderId="2" xfId="0" applyNumberFormat="1" applyFont="1" applyFill="1" applyBorder="1" applyAlignment="1">
      <alignment horizontal="left" wrapText="1"/>
    </xf>
    <xf numFmtId="49" fontId="18" fillId="0" borderId="2" xfId="0" applyNumberFormat="1" applyFont="1" applyFill="1" applyBorder="1" applyAlignment="1">
      <alignment horizontal="left" vertical="top" wrapText="1"/>
    </xf>
    <xf numFmtId="165" fontId="17" fillId="0" borderId="2" xfId="0" applyNumberFormat="1" applyFont="1" applyFill="1" applyBorder="1" applyAlignment="1">
      <alignment horizontal="right" vertical="top"/>
    </xf>
    <xf numFmtId="49" fontId="18" fillId="0" borderId="2" xfId="0" applyNumberFormat="1" applyFont="1" applyFill="1" applyBorder="1" applyAlignment="1">
      <alignment horizontal="left" vertical="top"/>
    </xf>
    <xf numFmtId="4" fontId="18" fillId="0" borderId="2" xfId="0" applyNumberFormat="1" applyFont="1" applyFill="1" applyBorder="1" applyAlignment="1">
      <alignment horizontal="right" vertical="top"/>
    </xf>
    <xf numFmtId="4" fontId="19" fillId="0" borderId="2" xfId="0" applyNumberFormat="1" applyFont="1" applyFill="1" applyBorder="1" applyAlignment="1">
      <alignment horizontal="right" vertical="top"/>
    </xf>
    <xf numFmtId="49" fontId="17" fillId="0" borderId="2" xfId="0" applyNumberFormat="1" applyFont="1" applyFill="1" applyBorder="1" applyAlignment="1">
      <alignment horizontal="left" wrapText="1"/>
    </xf>
    <xf numFmtId="4" fontId="17" fillId="0" borderId="2" xfId="0" applyNumberFormat="1" applyFont="1" applyFill="1" applyBorder="1" applyAlignment="1">
      <alignment horizontal="right" vertical="top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>
      <alignment vertical="top" wrapText="1"/>
    </xf>
    <xf numFmtId="4" fontId="14" fillId="0" borderId="2" xfId="0" applyNumberFormat="1" applyFont="1" applyFill="1" applyBorder="1" applyAlignment="1">
      <alignment horizontal="right" vertical="top"/>
    </xf>
    <xf numFmtId="0" fontId="14" fillId="0" borderId="0" xfId="0" applyFont="1" applyFill="1"/>
    <xf numFmtId="0" fontId="16" fillId="2" borderId="2" xfId="0" applyFont="1" applyFill="1" applyBorder="1" applyAlignment="1">
      <alignment horizontal="justify" wrapText="1"/>
    </xf>
    <xf numFmtId="49" fontId="14" fillId="0" borderId="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165" fontId="8" fillId="0" borderId="2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49" fontId="10" fillId="0" borderId="2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 wrapText="1"/>
    </xf>
    <xf numFmtId="165" fontId="10" fillId="0" borderId="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left" vertical="top" wrapText="1"/>
    </xf>
    <xf numFmtId="165" fontId="10" fillId="0" borderId="0" xfId="0" applyNumberFormat="1" applyFont="1" applyFill="1" applyAlignment="1">
      <alignment horizontal="right" vertical="top"/>
    </xf>
    <xf numFmtId="49" fontId="10" fillId="0" borderId="0" xfId="0" applyNumberFormat="1" applyFont="1" applyFill="1" applyAlignment="1">
      <alignment horizontal="left" vertical="top"/>
    </xf>
    <xf numFmtId="4" fontId="10" fillId="0" borderId="0" xfId="0" applyNumberFormat="1" applyFont="1" applyFill="1" applyAlignment="1">
      <alignment horizontal="right" vertical="top"/>
    </xf>
    <xf numFmtId="0" fontId="8" fillId="0" borderId="0" xfId="0" applyFont="1"/>
    <xf numFmtId="49" fontId="2" fillId="0" borderId="0" xfId="0" applyNumberFormat="1" applyFont="1" applyBorder="1" applyAlignment="1">
      <alignment vertical="center" wrapText="1"/>
    </xf>
    <xf numFmtId="49" fontId="10" fillId="0" borderId="2" xfId="0" quotePrefix="1" applyNumberFormat="1" applyFont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wrapText="1"/>
    </xf>
    <xf numFmtId="49" fontId="10" fillId="0" borderId="3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1"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SheetLayoutView="100" workbookViewId="0">
      <selection activeCell="E5" sqref="E5"/>
    </sheetView>
  </sheetViews>
  <sheetFormatPr defaultRowHeight="12.75"/>
  <cols>
    <col min="1" max="1" width="44" style="47" customWidth="1"/>
    <col min="2" max="2" width="9.140625" style="47" customWidth="1"/>
    <col min="3" max="3" width="26.85546875" style="47" customWidth="1"/>
    <col min="4" max="4" width="17.85546875" style="47" customWidth="1"/>
    <col min="5" max="5" width="16.28515625" style="47" customWidth="1"/>
    <col min="6" max="6" width="15.28515625" style="47" customWidth="1"/>
    <col min="7" max="7" width="17" style="47" customWidth="1"/>
    <col min="8" max="16384" width="9.140625" style="47"/>
  </cols>
  <sheetData>
    <row r="1" spans="1:7" ht="13.5" thickBot="1">
      <c r="A1" s="165" t="s">
        <v>294</v>
      </c>
      <c r="B1" s="165"/>
      <c r="C1" s="165"/>
      <c r="D1" s="165"/>
      <c r="E1" s="48"/>
      <c r="F1" s="48"/>
      <c r="G1" s="49" t="s">
        <v>295</v>
      </c>
    </row>
    <row r="2" spans="1:7">
      <c r="A2" s="50"/>
      <c r="B2" s="50"/>
      <c r="C2" s="51"/>
      <c r="D2" s="52"/>
      <c r="E2" s="53"/>
      <c r="F2" s="53" t="s">
        <v>296</v>
      </c>
      <c r="G2" s="54" t="s">
        <v>359</v>
      </c>
    </row>
    <row r="3" spans="1:7">
      <c r="A3" s="166" t="s">
        <v>463</v>
      </c>
      <c r="B3" s="166"/>
      <c r="C3" s="166"/>
      <c r="D3" s="166"/>
      <c r="E3" s="48"/>
      <c r="F3" s="48" t="s">
        <v>297</v>
      </c>
      <c r="G3" s="55">
        <v>42278</v>
      </c>
    </row>
    <row r="4" spans="1:7">
      <c r="A4" s="50"/>
      <c r="B4" s="50"/>
      <c r="C4" s="51"/>
      <c r="D4" s="52"/>
      <c r="E4" s="48"/>
      <c r="F4" s="48" t="s">
        <v>298</v>
      </c>
      <c r="G4" s="56" t="s">
        <v>444</v>
      </c>
    </row>
    <row r="5" spans="1:7">
      <c r="A5" s="50" t="s">
        <v>299</v>
      </c>
      <c r="B5" s="167" t="s">
        <v>300</v>
      </c>
      <c r="C5" s="168"/>
      <c r="D5" s="168"/>
      <c r="E5" s="48"/>
      <c r="F5" s="48" t="s">
        <v>301</v>
      </c>
      <c r="G5" s="56" t="s">
        <v>361</v>
      </c>
    </row>
    <row r="6" spans="1:7">
      <c r="A6" s="50" t="s">
        <v>302</v>
      </c>
      <c r="B6" s="169" t="s">
        <v>303</v>
      </c>
      <c r="C6" s="169"/>
      <c r="D6" s="169"/>
      <c r="E6" s="48"/>
      <c r="F6" s="48" t="s">
        <v>304</v>
      </c>
      <c r="G6" s="57" t="s">
        <v>362</v>
      </c>
    </row>
    <row r="7" spans="1:7">
      <c r="A7" s="50" t="s">
        <v>305</v>
      </c>
      <c r="B7" s="50"/>
      <c r="C7" s="51"/>
      <c r="D7" s="52"/>
      <c r="E7" s="48"/>
      <c r="F7" s="48"/>
      <c r="G7" s="58"/>
    </row>
    <row r="8" spans="1:7" ht="13.5" thickBot="1">
      <c r="A8" s="50" t="s">
        <v>3</v>
      </c>
      <c r="B8" s="50"/>
      <c r="C8" s="59"/>
      <c r="D8" s="52"/>
      <c r="E8" s="48"/>
      <c r="F8" s="48" t="s">
        <v>306</v>
      </c>
      <c r="G8" s="60" t="s">
        <v>363</v>
      </c>
    </row>
    <row r="9" spans="1:7">
      <c r="A9" s="170" t="s">
        <v>307</v>
      </c>
      <c r="B9" s="170"/>
      <c r="C9" s="170"/>
      <c r="D9" s="170"/>
      <c r="E9" s="61"/>
      <c r="F9" s="61"/>
      <c r="G9" s="62"/>
    </row>
    <row r="10" spans="1:7">
      <c r="A10" s="164" t="s">
        <v>38</v>
      </c>
      <c r="B10" s="164" t="s">
        <v>308</v>
      </c>
      <c r="C10" s="164" t="s">
        <v>309</v>
      </c>
      <c r="D10" s="163" t="s">
        <v>310</v>
      </c>
      <c r="E10" s="163" t="s">
        <v>311</v>
      </c>
      <c r="F10" s="163" t="s">
        <v>5</v>
      </c>
      <c r="G10" s="163" t="s">
        <v>6</v>
      </c>
    </row>
    <row r="11" spans="1:7">
      <c r="A11" s="164"/>
      <c r="B11" s="164"/>
      <c r="C11" s="164"/>
      <c r="D11" s="163"/>
      <c r="E11" s="163"/>
      <c r="F11" s="163"/>
      <c r="G11" s="163"/>
    </row>
    <row r="12" spans="1:7">
      <c r="A12" s="164"/>
      <c r="B12" s="164"/>
      <c r="C12" s="164"/>
      <c r="D12" s="163"/>
      <c r="E12" s="163"/>
      <c r="F12" s="163"/>
      <c r="G12" s="163"/>
    </row>
    <row r="13" spans="1:7">
      <c r="A13" s="164"/>
      <c r="B13" s="164"/>
      <c r="C13" s="164"/>
      <c r="D13" s="163"/>
      <c r="E13" s="163"/>
      <c r="F13" s="163"/>
      <c r="G13" s="163"/>
    </row>
    <row r="14" spans="1:7">
      <c r="A14" s="164"/>
      <c r="B14" s="164"/>
      <c r="C14" s="164"/>
      <c r="D14" s="163"/>
      <c r="E14" s="163"/>
      <c r="F14" s="163"/>
      <c r="G14" s="163"/>
    </row>
    <row r="15" spans="1:7">
      <c r="A15" s="164"/>
      <c r="B15" s="164"/>
      <c r="C15" s="164"/>
      <c r="D15" s="163"/>
      <c r="E15" s="163"/>
      <c r="F15" s="163"/>
      <c r="G15" s="163"/>
    </row>
    <row r="16" spans="1:7">
      <c r="A16" s="164"/>
      <c r="B16" s="164"/>
      <c r="C16" s="164"/>
      <c r="D16" s="163"/>
      <c r="E16" s="163"/>
      <c r="F16" s="163"/>
      <c r="G16" s="163"/>
    </row>
    <row r="17" spans="1:7">
      <c r="A17" s="63">
        <v>1</v>
      </c>
      <c r="B17" s="63">
        <v>2</v>
      </c>
      <c r="C17" s="63">
        <v>3</v>
      </c>
      <c r="D17" s="64" t="s">
        <v>364</v>
      </c>
      <c r="E17" s="64" t="s">
        <v>365</v>
      </c>
      <c r="F17" s="64" t="s">
        <v>365</v>
      </c>
      <c r="G17" s="64" t="s">
        <v>366</v>
      </c>
    </row>
    <row r="18" spans="1:7">
      <c r="A18" s="65" t="s">
        <v>312</v>
      </c>
      <c r="B18" s="66" t="s">
        <v>367</v>
      </c>
      <c r="C18" s="67" t="s">
        <v>313</v>
      </c>
      <c r="D18" s="68">
        <f>D20+D66</f>
        <v>8609863</v>
      </c>
      <c r="E18" s="68">
        <f>E20+E66</f>
        <v>6450412</v>
      </c>
      <c r="F18" s="68">
        <f>F20+F66</f>
        <v>6367208.4900000002</v>
      </c>
      <c r="G18" s="68">
        <f>IF(OR(D18="-",F18=D18),"-",D18-IF(F18="-",0,F18))</f>
        <v>2242654.5099999998</v>
      </c>
    </row>
    <row r="19" spans="1:7">
      <c r="A19" s="69" t="s">
        <v>51</v>
      </c>
      <c r="B19" s="70"/>
      <c r="C19" s="64"/>
      <c r="D19" s="71"/>
      <c r="E19" s="71"/>
      <c r="F19" s="71"/>
      <c r="G19" s="71"/>
    </row>
    <row r="20" spans="1:7" s="159" customFormat="1" ht="21.75" customHeight="1">
      <c r="A20" s="65" t="s">
        <v>314</v>
      </c>
      <c r="B20" s="66" t="s">
        <v>360</v>
      </c>
      <c r="C20" s="67" t="s">
        <v>315</v>
      </c>
      <c r="D20" s="68">
        <f>D21+D34+D40+D53+D62+D65+D64</f>
        <v>819100</v>
      </c>
      <c r="E20" s="68">
        <f>E21+E34+E40+E53+E62+E65+E64+E63</f>
        <v>600850</v>
      </c>
      <c r="F20" s="68">
        <f>F21+F34+F40+F53+F62+F65+F64+F63+F60+F57+F58+F61+F59</f>
        <v>966336.49</v>
      </c>
      <c r="G20" s="68">
        <f t="shared" ref="G20:G82" si="0">IF(OR(D20="-",F20=D20),"-",D20-IF(F20="-",0,F20))</f>
        <v>-147236.49</v>
      </c>
    </row>
    <row r="21" spans="1:7" ht="21.75" customHeight="1">
      <c r="A21" s="65" t="s">
        <v>316</v>
      </c>
      <c r="B21" s="66" t="s">
        <v>360</v>
      </c>
      <c r="C21" s="67" t="s">
        <v>368</v>
      </c>
      <c r="D21" s="68">
        <f>D22</f>
        <v>685800</v>
      </c>
      <c r="E21" s="68">
        <f>E22</f>
        <v>514350</v>
      </c>
      <c r="F21" s="68">
        <f>F22</f>
        <v>814119.5</v>
      </c>
      <c r="G21" s="68">
        <f t="shared" si="0"/>
        <v>-128319.5</v>
      </c>
    </row>
    <row r="22" spans="1:7" ht="24" customHeight="1">
      <c r="A22" s="69" t="s">
        <v>317</v>
      </c>
      <c r="B22" s="70" t="s">
        <v>360</v>
      </c>
      <c r="C22" s="64" t="s">
        <v>369</v>
      </c>
      <c r="D22" s="71">
        <f>FIO+D27+D30</f>
        <v>685800</v>
      </c>
      <c r="E22" s="71">
        <f>E23+E27+E30</f>
        <v>514350</v>
      </c>
      <c r="F22" s="71">
        <f>F23+F27+F30</f>
        <v>814119.5</v>
      </c>
      <c r="G22" s="71">
        <f t="shared" si="0"/>
        <v>-128319.5</v>
      </c>
    </row>
    <row r="23" spans="1:7" ht="78.75" customHeight="1">
      <c r="A23" s="69" t="s">
        <v>318</v>
      </c>
      <c r="B23" s="70" t="s">
        <v>360</v>
      </c>
      <c r="C23" s="64" t="s">
        <v>370</v>
      </c>
      <c r="D23" s="71">
        <f>D24+D25+D26</f>
        <v>600000</v>
      </c>
      <c r="E23" s="71">
        <f>E24+E25+E26</f>
        <v>450000</v>
      </c>
      <c r="F23" s="71">
        <v>354775.9</v>
      </c>
      <c r="G23" s="71">
        <f t="shared" si="0"/>
        <v>245224.09999999998</v>
      </c>
    </row>
    <row r="24" spans="1:7" ht="115.5" customHeight="1">
      <c r="A24" s="72" t="s">
        <v>319</v>
      </c>
      <c r="B24" s="70" t="s">
        <v>360</v>
      </c>
      <c r="C24" s="64" t="s">
        <v>371</v>
      </c>
      <c r="D24" s="71">
        <v>600000</v>
      </c>
      <c r="E24" s="71">
        <v>450000</v>
      </c>
      <c r="F24" s="71">
        <v>323137.2</v>
      </c>
      <c r="G24" s="71">
        <f>IF(OR(D24="-",F24=D24),"-",D24-IF(F24="-",0,F24))</f>
        <v>276862.8</v>
      </c>
    </row>
    <row r="25" spans="1:7" ht="94.5" hidden="1" customHeight="1">
      <c r="A25" s="72" t="s">
        <v>320</v>
      </c>
      <c r="B25" s="70" t="s">
        <v>360</v>
      </c>
      <c r="C25" s="64" t="s">
        <v>372</v>
      </c>
      <c r="D25" s="71"/>
      <c r="E25" s="71"/>
      <c r="F25" s="71"/>
      <c r="G25" s="71" t="str">
        <f>IF(OR(D25="-",F25=D25),"-",D25-IF(F25="-",0,F25))</f>
        <v>-</v>
      </c>
    </row>
    <row r="26" spans="1:7" ht="119.25" hidden="1" customHeight="1">
      <c r="A26" s="72" t="s">
        <v>321</v>
      </c>
      <c r="B26" s="70" t="s">
        <v>360</v>
      </c>
      <c r="C26" s="64" t="s">
        <v>373</v>
      </c>
      <c r="D26" s="71"/>
      <c r="E26" s="71"/>
      <c r="F26" s="71"/>
      <c r="G26" s="71" t="str">
        <f>IF(OR(D26="-",F26=D26),"-",D26-IF(F26="-",0,F26))</f>
        <v>-</v>
      </c>
    </row>
    <row r="27" spans="1:7" ht="114.75">
      <c r="A27" s="72" t="s">
        <v>322</v>
      </c>
      <c r="B27" s="70" t="s">
        <v>360</v>
      </c>
      <c r="C27" s="64" t="s">
        <v>374</v>
      </c>
      <c r="D27" s="71">
        <f>D28+D29</f>
        <v>80000</v>
      </c>
      <c r="E27" s="71">
        <f>E28+E29</f>
        <v>60000</v>
      </c>
      <c r="F27" s="71">
        <f>F28+F29</f>
        <v>453233.5</v>
      </c>
      <c r="G27" s="71">
        <f t="shared" si="0"/>
        <v>-373233.5</v>
      </c>
    </row>
    <row r="28" spans="1:7" ht="158.25" customHeight="1">
      <c r="A28" s="72" t="s">
        <v>323</v>
      </c>
      <c r="B28" s="70" t="s">
        <v>360</v>
      </c>
      <c r="C28" s="64" t="s">
        <v>375</v>
      </c>
      <c r="D28" s="71">
        <v>80000</v>
      </c>
      <c r="E28" s="71">
        <v>60000</v>
      </c>
      <c r="F28" s="71">
        <v>453233.5</v>
      </c>
      <c r="G28" s="71">
        <f t="shared" si="0"/>
        <v>-373233.5</v>
      </c>
    </row>
    <row r="29" spans="1:7" ht="125.25" hidden="1" customHeight="1">
      <c r="A29" s="72" t="s">
        <v>324</v>
      </c>
      <c r="B29" s="70" t="s">
        <v>360</v>
      </c>
      <c r="C29" s="64" t="s">
        <v>376</v>
      </c>
      <c r="D29" s="71"/>
      <c r="E29" s="71"/>
      <c r="F29" s="71"/>
      <c r="G29" s="71" t="str">
        <f>IF(OR(D29="-",F29=D29),"-",D29-IF(F29="-",0,F29))</f>
        <v>-</v>
      </c>
    </row>
    <row r="30" spans="1:7" ht="76.5" customHeight="1">
      <c r="A30" s="72" t="s">
        <v>325</v>
      </c>
      <c r="B30" s="70" t="s">
        <v>360</v>
      </c>
      <c r="C30" s="64" t="s">
        <v>377</v>
      </c>
      <c r="D30" s="71">
        <f>D31+D33+D32</f>
        <v>5800</v>
      </c>
      <c r="E30" s="71">
        <f>E31+E33+E32</f>
        <v>4350</v>
      </c>
      <c r="F30" s="71">
        <f>F31+F33+F32</f>
        <v>6110.1</v>
      </c>
      <c r="G30" s="71">
        <f>IF(OR(D30="-",F30=D30),"-",D30-IF(F30="-",0,F30))</f>
        <v>-310.10000000000036</v>
      </c>
    </row>
    <row r="31" spans="1:7" ht="76.5" customHeight="1">
      <c r="A31" s="72" t="s">
        <v>450</v>
      </c>
      <c r="B31" s="70" t="s">
        <v>360</v>
      </c>
      <c r="C31" s="64" t="s">
        <v>378</v>
      </c>
      <c r="D31" s="71">
        <v>5800</v>
      </c>
      <c r="E31" s="71">
        <v>4350</v>
      </c>
      <c r="F31" s="71">
        <v>6110.1</v>
      </c>
      <c r="G31" s="71">
        <f>IF(OR(D31="-",F31=D31),"-",D31-IF(F31="-",0,F31))</f>
        <v>-310.10000000000036</v>
      </c>
    </row>
    <row r="32" spans="1:7" ht="79.5" hidden="1" customHeight="1">
      <c r="A32" s="72" t="s">
        <v>325</v>
      </c>
      <c r="B32" s="70" t="s">
        <v>360</v>
      </c>
      <c r="C32" s="64" t="s">
        <v>379</v>
      </c>
      <c r="D32" s="71"/>
      <c r="E32" s="71"/>
      <c r="F32" s="71"/>
      <c r="G32" s="71" t="str">
        <f>IF(OR(D32="-",F32=D32),"-",D32-IF(F32="-",0,F32))</f>
        <v>-</v>
      </c>
    </row>
    <row r="33" spans="1:7" ht="84.75" hidden="1" customHeight="1">
      <c r="A33" s="72" t="s">
        <v>325</v>
      </c>
      <c r="B33" s="70" t="s">
        <v>360</v>
      </c>
      <c r="C33" s="64" t="s">
        <v>380</v>
      </c>
      <c r="D33" s="71"/>
      <c r="E33" s="71"/>
      <c r="F33" s="71"/>
      <c r="G33" s="71" t="str">
        <f>IF(OR(D33="-",F33=D33),"-",D33-IF(F33="-",0,F33))</f>
        <v>-</v>
      </c>
    </row>
    <row r="34" spans="1:7" ht="45" customHeight="1">
      <c r="A34" s="65" t="s">
        <v>326</v>
      </c>
      <c r="B34" s="66" t="s">
        <v>360</v>
      </c>
      <c r="C34" s="67" t="s">
        <v>381</v>
      </c>
      <c r="D34" s="68">
        <f>D35</f>
        <v>72400</v>
      </c>
      <c r="E34" s="68">
        <f>E35</f>
        <v>54300</v>
      </c>
      <c r="F34" s="68">
        <f>F35</f>
        <v>63249.68</v>
      </c>
      <c r="G34" s="68">
        <f t="shared" si="0"/>
        <v>9150.32</v>
      </c>
    </row>
    <row r="35" spans="1:7" ht="38.25">
      <c r="A35" s="69" t="s">
        <v>327</v>
      </c>
      <c r="B35" s="70" t="s">
        <v>360</v>
      </c>
      <c r="C35" s="64" t="s">
        <v>382</v>
      </c>
      <c r="D35" s="71">
        <f>D36+D37+D38+D39</f>
        <v>72400</v>
      </c>
      <c r="E35" s="71">
        <f>E36+E37+E38+E39</f>
        <v>54300</v>
      </c>
      <c r="F35" s="71">
        <f>F36+F37+F38+F39</f>
        <v>63249.68</v>
      </c>
      <c r="G35" s="71">
        <f t="shared" si="0"/>
        <v>9150.32</v>
      </c>
    </row>
    <row r="36" spans="1:7" ht="87.75" customHeight="1">
      <c r="A36" s="69" t="s">
        <v>440</v>
      </c>
      <c r="B36" s="70" t="s">
        <v>360</v>
      </c>
      <c r="C36" s="64" t="s">
        <v>383</v>
      </c>
      <c r="D36" s="71">
        <v>22200</v>
      </c>
      <c r="E36" s="71">
        <v>16650</v>
      </c>
      <c r="F36" s="71">
        <v>21707.15</v>
      </c>
      <c r="G36" s="71">
        <f t="shared" si="0"/>
        <v>492.84999999999854</v>
      </c>
    </row>
    <row r="37" spans="1:7" ht="100.5" customHeight="1">
      <c r="A37" s="73" t="s">
        <v>441</v>
      </c>
      <c r="B37" s="70" t="s">
        <v>360</v>
      </c>
      <c r="C37" s="64" t="s">
        <v>384</v>
      </c>
      <c r="D37" s="71">
        <v>800</v>
      </c>
      <c r="E37" s="71">
        <v>600</v>
      </c>
      <c r="F37" s="71">
        <v>589.48</v>
      </c>
      <c r="G37" s="71">
        <f t="shared" si="0"/>
        <v>210.51999999999998</v>
      </c>
    </row>
    <row r="38" spans="1:7" ht="81.75" customHeight="1">
      <c r="A38" s="69" t="s">
        <v>442</v>
      </c>
      <c r="B38" s="70" t="s">
        <v>360</v>
      </c>
      <c r="C38" s="64" t="s">
        <v>385</v>
      </c>
      <c r="D38" s="71">
        <v>48500</v>
      </c>
      <c r="E38" s="71">
        <v>36375</v>
      </c>
      <c r="F38" s="71">
        <v>43550.81</v>
      </c>
      <c r="G38" s="71">
        <f>IF(OR(D38="-",F38=D38),"-",D38-IF(F38="-",0,F38))</f>
        <v>4949.1900000000023</v>
      </c>
    </row>
    <row r="39" spans="1:7" ht="77.25" customHeight="1">
      <c r="A39" s="69" t="s">
        <v>443</v>
      </c>
      <c r="B39" s="70" t="s">
        <v>360</v>
      </c>
      <c r="C39" s="64" t="s">
        <v>386</v>
      </c>
      <c r="D39" s="71">
        <v>900</v>
      </c>
      <c r="E39" s="71">
        <v>675</v>
      </c>
      <c r="F39" s="71">
        <v>-2597.7600000000002</v>
      </c>
      <c r="G39" s="71">
        <f>D39-F39</f>
        <v>3497.76</v>
      </c>
    </row>
    <row r="40" spans="1:7">
      <c r="A40" s="65" t="s">
        <v>328</v>
      </c>
      <c r="B40" s="66" t="s">
        <v>360</v>
      </c>
      <c r="C40" s="67" t="s">
        <v>387</v>
      </c>
      <c r="D40" s="68">
        <f>D41+D46</f>
        <v>53900</v>
      </c>
      <c r="E40" s="68">
        <f>E41+E46</f>
        <v>26950</v>
      </c>
      <c r="F40" s="68">
        <f>F41+F46</f>
        <v>33762.870000000003</v>
      </c>
      <c r="G40" s="68">
        <f t="shared" si="0"/>
        <v>20137.129999999997</v>
      </c>
    </row>
    <row r="41" spans="1:7">
      <c r="A41" s="65" t="s">
        <v>329</v>
      </c>
      <c r="B41" s="66" t="s">
        <v>360</v>
      </c>
      <c r="C41" s="67" t="s">
        <v>388</v>
      </c>
      <c r="D41" s="68">
        <f>D42</f>
        <v>33500</v>
      </c>
      <c r="E41" s="68">
        <f>E42</f>
        <v>16750</v>
      </c>
      <c r="F41" s="68">
        <f>F42</f>
        <v>25649.350000000002</v>
      </c>
      <c r="G41" s="68">
        <f t="shared" si="0"/>
        <v>7850.6499999999978</v>
      </c>
    </row>
    <row r="42" spans="1:7" ht="54" customHeight="1">
      <c r="A42" s="69" t="s">
        <v>330</v>
      </c>
      <c r="B42" s="70" t="s">
        <v>360</v>
      </c>
      <c r="C42" s="64" t="s">
        <v>389</v>
      </c>
      <c r="D42" s="71">
        <f>D43+D44</f>
        <v>33500</v>
      </c>
      <c r="E42" s="71">
        <f t="shared" ref="E42:F42" si="1">E43+E44</f>
        <v>16750</v>
      </c>
      <c r="F42" s="71">
        <f t="shared" si="1"/>
        <v>25649.350000000002</v>
      </c>
      <c r="G42" s="71">
        <f t="shared" si="0"/>
        <v>7850.6499999999978</v>
      </c>
    </row>
    <row r="43" spans="1:7" ht="86.25" customHeight="1">
      <c r="A43" s="69" t="s">
        <v>430</v>
      </c>
      <c r="B43" s="70" t="s">
        <v>360</v>
      </c>
      <c r="C43" s="64" t="s">
        <v>390</v>
      </c>
      <c r="D43" s="71">
        <v>33500</v>
      </c>
      <c r="E43" s="71">
        <v>16750</v>
      </c>
      <c r="F43" s="71">
        <v>25353.45</v>
      </c>
      <c r="G43" s="71">
        <f t="shared" si="0"/>
        <v>8146.5499999999993</v>
      </c>
    </row>
    <row r="44" spans="1:7" ht="57.75" customHeight="1">
      <c r="A44" s="69" t="s">
        <v>331</v>
      </c>
      <c r="B44" s="70" t="s">
        <v>360</v>
      </c>
      <c r="C44" s="64" t="s">
        <v>422</v>
      </c>
      <c r="D44" s="71"/>
      <c r="E44" s="71"/>
      <c r="F44" s="71">
        <v>295.89999999999998</v>
      </c>
      <c r="G44" s="71">
        <f t="shared" si="0"/>
        <v>-295.89999999999998</v>
      </c>
    </row>
    <row r="45" spans="1:7" ht="53.25" customHeight="1">
      <c r="A45" s="69" t="s">
        <v>332</v>
      </c>
      <c r="B45" s="70" t="s">
        <v>360</v>
      </c>
      <c r="C45" s="64" t="s">
        <v>391</v>
      </c>
      <c r="D45" s="71"/>
      <c r="E45" s="71"/>
      <c r="F45" s="71">
        <v>0</v>
      </c>
      <c r="G45" s="71" t="str">
        <f>IF(OR(D45="-",F45=D45),"-",D45-IF(F45="-",0,F45))</f>
        <v>-</v>
      </c>
    </row>
    <row r="46" spans="1:7">
      <c r="A46" s="65" t="s">
        <v>333</v>
      </c>
      <c r="B46" s="66" t="s">
        <v>360</v>
      </c>
      <c r="C46" s="67" t="s">
        <v>392</v>
      </c>
      <c r="D46" s="68">
        <f>D48+D50+D49+D51+D52</f>
        <v>20400</v>
      </c>
      <c r="E46" s="68">
        <f>E48+E50+E49+E51+E52</f>
        <v>10200</v>
      </c>
      <c r="F46" s="68">
        <f>F48+F50+F49+F51+F52</f>
        <v>8113.52</v>
      </c>
      <c r="G46" s="68">
        <f t="shared" si="0"/>
        <v>12286.48</v>
      </c>
    </row>
    <row r="47" spans="1:7" ht="78" hidden="1" customHeight="1">
      <c r="A47" s="69" t="s">
        <v>334</v>
      </c>
      <c r="B47" s="70" t="s">
        <v>360</v>
      </c>
      <c r="C47" s="64" t="s">
        <v>393</v>
      </c>
      <c r="D47" s="71"/>
      <c r="E47" s="71"/>
      <c r="F47" s="71"/>
      <c r="G47" s="71" t="str">
        <f>IF(OR(D47="-",F47=D47),"-",D47-IF(F47="-",0,F47))</f>
        <v>-</v>
      </c>
    </row>
    <row r="48" spans="1:7" ht="71.25" customHeight="1">
      <c r="A48" s="73" t="s">
        <v>431</v>
      </c>
      <c r="B48" s="70" t="s">
        <v>360</v>
      </c>
      <c r="C48" s="64" t="s">
        <v>421</v>
      </c>
      <c r="D48" s="71">
        <v>6800</v>
      </c>
      <c r="E48" s="71">
        <v>3400</v>
      </c>
      <c r="F48" s="71">
        <v>481.51</v>
      </c>
      <c r="G48" s="71">
        <f>IF(OR(D48="-",F48=D48),"-",D48-IF(F48="-",0,F48))</f>
        <v>6318.49</v>
      </c>
    </row>
    <row r="49" spans="1:7" ht="60" customHeight="1">
      <c r="A49" s="73" t="s">
        <v>432</v>
      </c>
      <c r="B49" s="70" t="s">
        <v>360</v>
      </c>
      <c r="C49" s="64" t="s">
        <v>424</v>
      </c>
      <c r="D49" s="71">
        <v>0</v>
      </c>
      <c r="E49" s="71"/>
      <c r="F49" s="71">
        <v>11.26</v>
      </c>
      <c r="G49" s="71">
        <f>IF(OR(D49="-",F49=D49),"-",D49-IF(F49="-",0,F49))</f>
        <v>-11.26</v>
      </c>
    </row>
    <row r="50" spans="1:7" ht="72" customHeight="1">
      <c r="A50" s="73" t="s">
        <v>428</v>
      </c>
      <c r="B50" s="70" t="s">
        <v>360</v>
      </c>
      <c r="C50" s="64" t="s">
        <v>423</v>
      </c>
      <c r="D50" s="71">
        <v>13600</v>
      </c>
      <c r="E50" s="71">
        <v>6800</v>
      </c>
      <c r="F50" s="71">
        <v>7450.18</v>
      </c>
      <c r="G50" s="71">
        <f t="shared" si="0"/>
        <v>6149.82</v>
      </c>
    </row>
    <row r="51" spans="1:7" ht="60" customHeight="1">
      <c r="A51" s="73" t="s">
        <v>429</v>
      </c>
      <c r="B51" s="70" t="s">
        <v>360</v>
      </c>
      <c r="C51" s="64" t="s">
        <v>425</v>
      </c>
      <c r="D51" s="71"/>
      <c r="E51" s="71"/>
      <c r="F51" s="71">
        <v>160.47999999999999</v>
      </c>
      <c r="G51" s="71">
        <f>IF(OR(D51="-",F51=D51),"-",D51-IF(F51="-",0,F51))</f>
        <v>-160.47999999999999</v>
      </c>
    </row>
    <row r="52" spans="1:7" ht="57" customHeight="1">
      <c r="A52" s="73" t="s">
        <v>467</v>
      </c>
      <c r="B52" s="70" t="s">
        <v>360</v>
      </c>
      <c r="C52" s="64" t="s">
        <v>468</v>
      </c>
      <c r="D52" s="71"/>
      <c r="E52" s="71"/>
      <c r="F52" s="71">
        <v>10.09</v>
      </c>
      <c r="G52" s="71">
        <f>IF(OR(D52="-",F52=D52),"-",D52-IF(F52="-",0,F52))</f>
        <v>-10.09</v>
      </c>
    </row>
    <row r="53" spans="1:7">
      <c r="A53" s="65" t="s">
        <v>335</v>
      </c>
      <c r="B53" s="66" t="s">
        <v>360</v>
      </c>
      <c r="C53" s="67" t="s">
        <v>394</v>
      </c>
      <c r="D53" s="68">
        <f t="shared" ref="D53:F55" si="2">D54</f>
        <v>7000</v>
      </c>
      <c r="E53" s="68">
        <f t="shared" si="2"/>
        <v>5250</v>
      </c>
      <c r="F53" s="68">
        <f t="shared" si="2"/>
        <v>19110</v>
      </c>
      <c r="G53" s="68">
        <f t="shared" si="0"/>
        <v>-12110</v>
      </c>
    </row>
    <row r="54" spans="1:7" ht="60" customHeight="1">
      <c r="A54" s="69" t="s">
        <v>336</v>
      </c>
      <c r="B54" s="70" t="s">
        <v>360</v>
      </c>
      <c r="C54" s="64" t="s">
        <v>395</v>
      </c>
      <c r="D54" s="71">
        <f t="shared" si="2"/>
        <v>7000</v>
      </c>
      <c r="E54" s="71">
        <f t="shared" si="2"/>
        <v>5250</v>
      </c>
      <c r="F54" s="71">
        <f t="shared" si="2"/>
        <v>19110</v>
      </c>
      <c r="G54" s="71">
        <f t="shared" si="0"/>
        <v>-12110</v>
      </c>
    </row>
    <row r="55" spans="1:7" ht="81" customHeight="1">
      <c r="A55" s="69" t="s">
        <v>337</v>
      </c>
      <c r="B55" s="70" t="s">
        <v>360</v>
      </c>
      <c r="C55" s="64" t="s">
        <v>396</v>
      </c>
      <c r="D55" s="71">
        <f t="shared" si="2"/>
        <v>7000</v>
      </c>
      <c r="E55" s="71">
        <f t="shared" si="2"/>
        <v>5250</v>
      </c>
      <c r="F55" s="71">
        <f t="shared" si="2"/>
        <v>19110</v>
      </c>
      <c r="G55" s="71">
        <f t="shared" si="0"/>
        <v>-12110</v>
      </c>
    </row>
    <row r="56" spans="1:7" ht="90" customHeight="1">
      <c r="A56" s="69" t="s">
        <v>338</v>
      </c>
      <c r="B56" s="70" t="s">
        <v>360</v>
      </c>
      <c r="C56" s="64" t="s">
        <v>397</v>
      </c>
      <c r="D56" s="71">
        <v>7000</v>
      </c>
      <c r="E56" s="71">
        <v>5250</v>
      </c>
      <c r="F56" s="71">
        <v>19110</v>
      </c>
      <c r="G56" s="71">
        <f t="shared" si="0"/>
        <v>-12110</v>
      </c>
    </row>
    <row r="57" spans="1:7" ht="50.25" customHeight="1">
      <c r="A57" s="69" t="s">
        <v>427</v>
      </c>
      <c r="B57" s="70"/>
      <c r="C57" s="64" t="s">
        <v>433</v>
      </c>
      <c r="D57" s="71"/>
      <c r="E57" s="71"/>
      <c r="F57" s="71">
        <v>1604.83</v>
      </c>
      <c r="G57" s="71">
        <f t="shared" si="0"/>
        <v>-1604.83</v>
      </c>
    </row>
    <row r="58" spans="1:7" ht="50.25" customHeight="1">
      <c r="A58" s="69" t="s">
        <v>452</v>
      </c>
      <c r="B58" s="70"/>
      <c r="C58" s="64" t="s">
        <v>451</v>
      </c>
      <c r="D58" s="71"/>
      <c r="E58" s="71"/>
      <c r="F58" s="71">
        <v>3339.61</v>
      </c>
      <c r="G58" s="71"/>
    </row>
    <row r="59" spans="1:7" ht="72.75" customHeight="1">
      <c r="A59" s="69" t="s">
        <v>466</v>
      </c>
      <c r="B59" s="70"/>
      <c r="C59" s="64" t="s">
        <v>464</v>
      </c>
      <c r="D59" s="71"/>
      <c r="E59" s="71"/>
      <c r="F59" s="71">
        <v>10000</v>
      </c>
      <c r="G59" s="71"/>
    </row>
    <row r="60" spans="1:7" ht="33" customHeight="1">
      <c r="A60" s="69" t="s">
        <v>453</v>
      </c>
      <c r="B60" s="70"/>
      <c r="C60" s="64" t="s">
        <v>400</v>
      </c>
      <c r="D60" s="71"/>
      <c r="E60" s="71"/>
      <c r="F60" s="71">
        <v>3600</v>
      </c>
      <c r="G60" s="71">
        <f t="shared" si="0"/>
        <v>-3600</v>
      </c>
    </row>
    <row r="61" spans="1:7" ht="33" customHeight="1">
      <c r="A61" s="161" t="s">
        <v>426</v>
      </c>
      <c r="B61" s="70"/>
      <c r="C61" s="64" t="s">
        <v>434</v>
      </c>
      <c r="D61" s="71"/>
      <c r="E61" s="71"/>
      <c r="F61" s="71">
        <v>0</v>
      </c>
      <c r="G61" s="71" t="str">
        <f t="shared" ref="G61" si="3">IF(OR(D61="-",F61=D61),"-",D61-IF(F61="-",0,F61))</f>
        <v>-</v>
      </c>
    </row>
    <row r="62" spans="1:7" ht="44.25" customHeight="1">
      <c r="A62" s="65" t="s">
        <v>339</v>
      </c>
      <c r="B62" s="66"/>
      <c r="C62" s="67" t="s">
        <v>398</v>
      </c>
      <c r="D62" s="68">
        <f>5800-5800</f>
        <v>0</v>
      </c>
      <c r="E62" s="68">
        <f>2900-2900</f>
        <v>0</v>
      </c>
      <c r="F62" s="68">
        <v>0</v>
      </c>
      <c r="G62" s="68" t="str">
        <f t="shared" si="0"/>
        <v>-</v>
      </c>
    </row>
    <row r="63" spans="1:7" hidden="1">
      <c r="A63" s="69" t="s">
        <v>340</v>
      </c>
      <c r="B63" s="70"/>
      <c r="C63" s="64" t="s">
        <v>399</v>
      </c>
      <c r="D63" s="71"/>
      <c r="E63" s="71"/>
      <c r="F63" s="71"/>
      <c r="G63" s="71" t="str">
        <f>IF(OR(D63="-",F63=D63),"-",D63-IF(F63="-",0,F63))</f>
        <v>-</v>
      </c>
    </row>
    <row r="64" spans="1:7" hidden="1">
      <c r="A64" s="69" t="s">
        <v>341</v>
      </c>
      <c r="B64" s="70"/>
      <c r="C64" s="64" t="s">
        <v>400</v>
      </c>
      <c r="D64" s="71"/>
      <c r="E64" s="71"/>
      <c r="F64" s="71"/>
      <c r="G64" s="71" t="str">
        <f t="shared" si="0"/>
        <v>-</v>
      </c>
    </row>
    <row r="65" spans="1:7" ht="25.5">
      <c r="A65" s="69" t="s">
        <v>342</v>
      </c>
      <c r="B65" s="70"/>
      <c r="C65" s="64" t="s">
        <v>401</v>
      </c>
      <c r="D65" s="71"/>
      <c r="E65" s="71"/>
      <c r="F65" s="71">
        <v>17550</v>
      </c>
      <c r="G65" s="71">
        <f>IF(OR(D65="-",F65=D65),"-",D65-IF(F65="-",0,F65))</f>
        <v>-17550</v>
      </c>
    </row>
    <row r="66" spans="1:7" ht="27" customHeight="1">
      <c r="A66" s="65" t="s">
        <v>343</v>
      </c>
      <c r="B66" s="66" t="s">
        <v>360</v>
      </c>
      <c r="C66" s="67" t="s">
        <v>402</v>
      </c>
      <c r="D66" s="68">
        <f>D67</f>
        <v>7790763</v>
      </c>
      <c r="E66" s="68">
        <f>E67</f>
        <v>5849562</v>
      </c>
      <c r="F66" s="68">
        <f>F67</f>
        <v>5400872</v>
      </c>
      <c r="G66" s="68">
        <f t="shared" si="0"/>
        <v>2389891</v>
      </c>
    </row>
    <row r="67" spans="1:7" ht="47.25" customHeight="1">
      <c r="A67" s="69" t="s">
        <v>344</v>
      </c>
      <c r="B67" s="70" t="s">
        <v>360</v>
      </c>
      <c r="C67" s="64" t="s">
        <v>403</v>
      </c>
      <c r="D67" s="71">
        <f>D68+D73+D82++D76+D77+D78+D80+D79+D81</f>
        <v>7790763</v>
      </c>
      <c r="E67" s="71">
        <f>E68+E73+E82++E76+E77+E78+E80+E79+E81</f>
        <v>5849562</v>
      </c>
      <c r="F67" s="71">
        <f>F68+F73+F82++F76+F77+F78+F80+F79+F81</f>
        <v>5400872</v>
      </c>
      <c r="G67" s="71">
        <f t="shared" si="0"/>
        <v>2389891</v>
      </c>
    </row>
    <row r="68" spans="1:7" ht="25.5">
      <c r="A68" s="69" t="s">
        <v>345</v>
      </c>
      <c r="B68" s="70" t="s">
        <v>360</v>
      </c>
      <c r="C68" s="64" t="s">
        <v>404</v>
      </c>
      <c r="D68" s="71">
        <f>D69+D71</f>
        <v>7317711</v>
      </c>
      <c r="E68" s="71">
        <f>E69+E71</f>
        <v>5488283</v>
      </c>
      <c r="F68" s="71">
        <f>F69+F71</f>
        <v>5043149</v>
      </c>
      <c r="G68" s="71">
        <f t="shared" si="0"/>
        <v>2274562</v>
      </c>
    </row>
    <row r="69" spans="1:7" ht="25.5">
      <c r="A69" s="69" t="s">
        <v>346</v>
      </c>
      <c r="B69" s="70" t="s">
        <v>360</v>
      </c>
      <c r="C69" s="64" t="s">
        <v>405</v>
      </c>
      <c r="D69" s="71">
        <f>D70</f>
        <v>461142</v>
      </c>
      <c r="E69" s="71">
        <f>E70</f>
        <v>389808</v>
      </c>
      <c r="F69" s="71">
        <f>F70</f>
        <v>392224</v>
      </c>
      <c r="G69" s="71">
        <f t="shared" si="0"/>
        <v>68918</v>
      </c>
    </row>
    <row r="70" spans="1:7" ht="25.5">
      <c r="A70" s="69" t="s">
        <v>347</v>
      </c>
      <c r="B70" s="70" t="s">
        <v>360</v>
      </c>
      <c r="C70" s="64" t="s">
        <v>406</v>
      </c>
      <c r="D70" s="71">
        <v>461142</v>
      </c>
      <c r="E70" s="71">
        <v>389808</v>
      </c>
      <c r="F70" s="71">
        <v>392224</v>
      </c>
      <c r="G70" s="71">
        <f t="shared" si="0"/>
        <v>68918</v>
      </c>
    </row>
    <row r="71" spans="1:7" ht="25.5">
      <c r="A71" s="69" t="s">
        <v>348</v>
      </c>
      <c r="B71" s="70" t="s">
        <v>360</v>
      </c>
      <c r="C71" s="64" t="s">
        <v>407</v>
      </c>
      <c r="D71" s="71">
        <f>D72</f>
        <v>6856569</v>
      </c>
      <c r="E71" s="71">
        <f>E72</f>
        <v>5098475</v>
      </c>
      <c r="F71" s="71">
        <f>F72</f>
        <v>4650925</v>
      </c>
      <c r="G71" s="71">
        <f t="shared" si="0"/>
        <v>2205644</v>
      </c>
    </row>
    <row r="72" spans="1:7" ht="25.5">
      <c r="A72" s="69" t="s">
        <v>349</v>
      </c>
      <c r="B72" s="70" t="s">
        <v>360</v>
      </c>
      <c r="C72" s="64" t="s">
        <v>408</v>
      </c>
      <c r="D72" s="71">
        <v>6856569</v>
      </c>
      <c r="E72" s="71">
        <v>5098475</v>
      </c>
      <c r="F72" s="71">
        <v>4650925</v>
      </c>
      <c r="G72" s="71">
        <f t="shared" si="0"/>
        <v>2205644</v>
      </c>
    </row>
    <row r="73" spans="1:7" ht="25.5">
      <c r="A73" s="74" t="s">
        <v>350</v>
      </c>
      <c r="B73" s="75"/>
      <c r="C73" s="64" t="s">
        <v>409</v>
      </c>
      <c r="D73" s="71">
        <f t="shared" ref="D73:F74" si="4">D74</f>
        <v>76446</v>
      </c>
      <c r="E73" s="71">
        <f t="shared" si="4"/>
        <v>62625</v>
      </c>
      <c r="F73" s="71">
        <f t="shared" si="4"/>
        <v>59095</v>
      </c>
      <c r="G73" s="71">
        <f t="shared" si="0"/>
        <v>17351</v>
      </c>
    </row>
    <row r="74" spans="1:7" ht="63.75" customHeight="1">
      <c r="A74" s="74" t="s">
        <v>351</v>
      </c>
      <c r="B74" s="75"/>
      <c r="C74" s="64" t="s">
        <v>410</v>
      </c>
      <c r="D74" s="71">
        <f t="shared" si="4"/>
        <v>76446</v>
      </c>
      <c r="E74" s="71">
        <f t="shared" si="4"/>
        <v>62625</v>
      </c>
      <c r="F74" s="71">
        <f t="shared" si="4"/>
        <v>59095</v>
      </c>
      <c r="G74" s="71">
        <f t="shared" si="0"/>
        <v>17351</v>
      </c>
    </row>
    <row r="75" spans="1:7" ht="74.25" customHeight="1">
      <c r="A75" s="74" t="s">
        <v>351</v>
      </c>
      <c r="B75" s="75"/>
      <c r="C75" s="64" t="s">
        <v>411</v>
      </c>
      <c r="D75" s="71">
        <f>83500-7054</f>
        <v>76446</v>
      </c>
      <c r="E75" s="71">
        <v>62625</v>
      </c>
      <c r="F75" s="71">
        <v>59095</v>
      </c>
      <c r="G75" s="71">
        <f t="shared" si="0"/>
        <v>17351</v>
      </c>
    </row>
    <row r="76" spans="1:7" ht="93.75" customHeight="1">
      <c r="A76" s="74" t="s">
        <v>352</v>
      </c>
      <c r="B76" s="76"/>
      <c r="C76" s="64" t="s">
        <v>412</v>
      </c>
      <c r="D76" s="71">
        <v>2206</v>
      </c>
      <c r="E76" s="71">
        <v>1654</v>
      </c>
      <c r="F76" s="71">
        <v>1628</v>
      </c>
      <c r="G76" s="71">
        <f t="shared" si="0"/>
        <v>578</v>
      </c>
    </row>
    <row r="77" spans="1:7" ht="54" hidden="1" customHeight="1">
      <c r="A77" s="77" t="s">
        <v>353</v>
      </c>
      <c r="B77" s="76"/>
      <c r="C77" s="64" t="s">
        <v>413</v>
      </c>
      <c r="D77" s="71"/>
      <c r="E77" s="71"/>
      <c r="F77" s="71"/>
      <c r="G77" s="71" t="str">
        <f t="shared" si="0"/>
        <v>-</v>
      </c>
    </row>
    <row r="78" spans="1:7" ht="62.25" hidden="1" customHeight="1">
      <c r="A78" s="77" t="s">
        <v>354</v>
      </c>
      <c r="B78" s="76"/>
      <c r="C78" s="64" t="s">
        <v>414</v>
      </c>
      <c r="D78" s="71"/>
      <c r="E78" s="71"/>
      <c r="F78" s="71"/>
      <c r="G78" s="71" t="str">
        <f t="shared" si="0"/>
        <v>-</v>
      </c>
    </row>
    <row r="79" spans="1:7" ht="114" hidden="1" customHeight="1">
      <c r="A79" s="74" t="s">
        <v>355</v>
      </c>
      <c r="B79" s="76"/>
      <c r="C79" s="64" t="s">
        <v>415</v>
      </c>
      <c r="D79" s="71"/>
      <c r="E79" s="71"/>
      <c r="F79" s="71"/>
      <c r="G79" s="71" t="str">
        <f t="shared" si="0"/>
        <v>-</v>
      </c>
    </row>
    <row r="80" spans="1:7" ht="99" customHeight="1">
      <c r="A80" s="74" t="s">
        <v>356</v>
      </c>
      <c r="B80" s="76"/>
      <c r="C80" s="64" t="s">
        <v>416</v>
      </c>
      <c r="D80" s="71">
        <v>394400</v>
      </c>
      <c r="E80" s="71">
        <v>297000</v>
      </c>
      <c r="F80" s="71">
        <v>297000</v>
      </c>
      <c r="G80" s="71">
        <f t="shared" si="0"/>
        <v>97400</v>
      </c>
    </row>
    <row r="81" spans="1:7" ht="144.75" hidden="1" customHeight="1">
      <c r="A81" s="74" t="s">
        <v>357</v>
      </c>
      <c r="B81" s="76"/>
      <c r="C81" s="64" t="s">
        <v>417</v>
      </c>
      <c r="D81" s="71"/>
      <c r="E81" s="71"/>
      <c r="F81" s="71"/>
      <c r="G81" s="71" t="str">
        <f t="shared" si="0"/>
        <v>-</v>
      </c>
    </row>
    <row r="82" spans="1:7" ht="99.75" hidden="1" customHeight="1">
      <c r="A82" s="74" t="s">
        <v>358</v>
      </c>
      <c r="B82" s="76"/>
      <c r="C82" s="64" t="s">
        <v>418</v>
      </c>
      <c r="D82" s="71"/>
      <c r="E82" s="71"/>
      <c r="F82" s="71"/>
      <c r="G82" s="71" t="str">
        <f t="shared" si="0"/>
        <v>-</v>
      </c>
    </row>
  </sheetData>
  <mergeCells count="12">
    <mergeCell ref="A1:D1"/>
    <mergeCell ref="A3:D3"/>
    <mergeCell ref="B5:D5"/>
    <mergeCell ref="B6:D6"/>
    <mergeCell ref="A9:D9"/>
    <mergeCell ref="G10:G16"/>
    <mergeCell ref="A10:A16"/>
    <mergeCell ref="B10:B16"/>
    <mergeCell ref="C10:C16"/>
    <mergeCell ref="D10:D16"/>
    <mergeCell ref="E10:E16"/>
    <mergeCell ref="F10:F16"/>
  </mergeCells>
  <conditionalFormatting sqref="G18:G82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landscape" verticalDpi="4294967293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0"/>
  <sheetViews>
    <sheetView view="pageBreakPreview" topLeftCell="A11" zoomScaleSheetLayoutView="100" workbookViewId="0">
      <pane xSplit="2" ySplit="3" topLeftCell="C14" activePane="bottomRight" state="frozen"/>
      <selection activeCell="A11" sqref="A11"/>
      <selection pane="topRight" activeCell="C11" sqref="C11"/>
      <selection pane="bottomLeft" activeCell="A14" sqref="A14"/>
      <selection pane="bottomRight" activeCell="D23" sqref="D23:I23"/>
    </sheetView>
  </sheetViews>
  <sheetFormatPr defaultRowHeight="12.75"/>
  <cols>
    <col min="1" max="1" width="42.5703125" style="155" customWidth="1"/>
    <col min="2" max="2" width="4.7109375" style="156" customWidth="1"/>
    <col min="3" max="3" width="24" style="157" customWidth="1"/>
    <col min="4" max="4" width="15.7109375" style="158" customWidth="1"/>
    <col min="5" max="5" width="16.42578125" style="158" customWidth="1"/>
    <col min="6" max="6" width="12.7109375" style="158" hidden="1" customWidth="1"/>
    <col min="7" max="8" width="0" style="158" hidden="1" customWidth="1"/>
    <col min="9" max="9" width="14" style="158" customWidth="1"/>
    <col min="10" max="11" width="12.7109375" style="158" customWidth="1"/>
    <col min="12" max="16384" width="9.140625" style="97"/>
  </cols>
  <sheetData>
    <row r="1" spans="1:11" s="80" customFormat="1" ht="30" hidden="1" customHeight="1">
      <c r="C1" s="80" t="s">
        <v>0</v>
      </c>
    </row>
    <row r="2" spans="1:11" s="80" customFormat="1" hidden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80" customFormat="1" hidden="1">
      <c r="A3" s="81"/>
      <c r="B3" s="81"/>
      <c r="C3" s="81" t="s">
        <v>1</v>
      </c>
      <c r="D3" s="81"/>
      <c r="E3" s="81"/>
      <c r="F3" s="81"/>
      <c r="G3" s="81"/>
      <c r="H3" s="81"/>
      <c r="I3" s="81"/>
      <c r="J3" s="81"/>
      <c r="K3" s="81"/>
    </row>
    <row r="4" spans="1:11" s="80" customFormat="1" hidden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80" customFormat="1" hidden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s="80" customFormat="1" hidden="1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80" customFormat="1" hidden="1">
      <c r="A7" s="81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s="80" customFormat="1">
      <c r="A8" s="81"/>
      <c r="B8" s="81"/>
      <c r="C8" s="81"/>
      <c r="D8" s="81"/>
      <c r="E8" s="81"/>
      <c r="F8" s="81"/>
      <c r="G8" s="81"/>
      <c r="H8" s="81"/>
      <c r="I8" s="81"/>
      <c r="J8" s="81"/>
      <c r="K8" s="82" t="s">
        <v>420</v>
      </c>
    </row>
    <row r="9" spans="1:11" s="80" customFormat="1">
      <c r="A9" s="81"/>
      <c r="B9" s="81"/>
      <c r="C9" s="81" t="s">
        <v>7</v>
      </c>
      <c r="D9" s="81"/>
      <c r="E9" s="81"/>
      <c r="F9" s="81"/>
      <c r="G9" s="81"/>
      <c r="H9" s="81"/>
      <c r="I9" s="81"/>
      <c r="J9" s="81"/>
    </row>
    <row r="10" spans="1:11" s="86" customFormat="1">
      <c r="A10" s="83"/>
      <c r="B10" s="84"/>
      <c r="C10" s="85"/>
      <c r="D10" s="84"/>
      <c r="E10" s="84"/>
      <c r="F10" s="84"/>
      <c r="G10" s="84"/>
      <c r="H10" s="84"/>
      <c r="I10" s="84"/>
      <c r="J10" s="84"/>
      <c r="K10" s="84"/>
    </row>
    <row r="11" spans="1:11" s="88" customFormat="1" ht="45" customHeight="1">
      <c r="A11" s="171" t="s">
        <v>4</v>
      </c>
      <c r="B11" s="171" t="s">
        <v>34</v>
      </c>
      <c r="C11" s="171" t="s">
        <v>8</v>
      </c>
      <c r="D11" s="172" t="s">
        <v>9</v>
      </c>
      <c r="E11" s="171" t="s">
        <v>10</v>
      </c>
      <c r="F11" s="171" t="s">
        <v>10</v>
      </c>
      <c r="G11" s="87"/>
      <c r="H11" s="87"/>
      <c r="I11" s="171" t="s">
        <v>5</v>
      </c>
      <c r="J11" s="171" t="s">
        <v>6</v>
      </c>
      <c r="K11" s="171"/>
    </row>
    <row r="12" spans="1:11" s="88" customFormat="1" ht="39" customHeight="1">
      <c r="A12" s="171"/>
      <c r="B12" s="171"/>
      <c r="C12" s="171"/>
      <c r="D12" s="172"/>
      <c r="E12" s="171"/>
      <c r="F12" s="171"/>
      <c r="G12" s="87"/>
      <c r="H12" s="87"/>
      <c r="I12" s="171"/>
      <c r="J12" s="87" t="s">
        <v>11</v>
      </c>
      <c r="K12" s="87" t="s">
        <v>12</v>
      </c>
    </row>
    <row r="13" spans="1:11" s="88" customFormat="1">
      <c r="A13" s="87">
        <v>1</v>
      </c>
      <c r="B13" s="87" t="s">
        <v>35</v>
      </c>
      <c r="C13" s="87">
        <v>3</v>
      </c>
      <c r="D13" s="87">
        <v>4</v>
      </c>
      <c r="E13" s="87">
        <v>5</v>
      </c>
      <c r="F13" s="87">
        <v>5</v>
      </c>
      <c r="G13" s="87"/>
      <c r="H13" s="87"/>
      <c r="I13" s="87">
        <v>6</v>
      </c>
      <c r="J13" s="87">
        <v>7</v>
      </c>
      <c r="K13" s="87">
        <v>8</v>
      </c>
    </row>
    <row r="14" spans="1:11" s="88" customFormat="1">
      <c r="A14" s="65" t="s">
        <v>139</v>
      </c>
      <c r="B14" s="87"/>
      <c r="C14" s="89" t="s">
        <v>183</v>
      </c>
      <c r="D14" s="90">
        <f>D15+D23+D95+D107+D86+D90</f>
        <v>4437819.33</v>
      </c>
      <c r="E14" s="90">
        <f t="shared" ref="E14:I14" si="0">E15+E23+E95+E107+E86+E90</f>
        <v>3595664.0699999994</v>
      </c>
      <c r="F14" s="90">
        <f t="shared" si="0"/>
        <v>3294</v>
      </c>
      <c r="G14" s="90">
        <f t="shared" si="0"/>
        <v>0</v>
      </c>
      <c r="H14" s="90">
        <f t="shared" si="0"/>
        <v>0</v>
      </c>
      <c r="I14" s="90">
        <f t="shared" si="0"/>
        <v>3035774.85</v>
      </c>
      <c r="J14" s="90">
        <f t="shared" ref="J14" si="1">J15+J23+J95+J107+J86+J90</f>
        <v>1374100.8299999996</v>
      </c>
      <c r="K14" s="90">
        <f t="shared" ref="K14" si="2">K15+K23+K95+K107+K86+K90</f>
        <v>531945.56999999972</v>
      </c>
    </row>
    <row r="15" spans="1:11" s="91" customFormat="1" ht="36.75" customHeight="1">
      <c r="A15" s="65" t="s">
        <v>140</v>
      </c>
      <c r="B15" s="89"/>
      <c r="C15" s="89"/>
      <c r="D15" s="90">
        <f>D16</f>
        <v>620428</v>
      </c>
      <c r="E15" s="90">
        <f t="shared" ref="E15:K15" si="3">E16</f>
        <v>478837.05000000005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465903</v>
      </c>
      <c r="J15" s="90">
        <f t="shared" si="3"/>
        <v>154525</v>
      </c>
      <c r="K15" s="90">
        <f t="shared" si="3"/>
        <v>12934.050000000014</v>
      </c>
    </row>
    <row r="16" spans="1:11" s="88" customFormat="1" ht="22.5" customHeight="1">
      <c r="A16" s="69" t="s">
        <v>156</v>
      </c>
      <c r="B16" s="87"/>
      <c r="C16" s="92" t="s">
        <v>272</v>
      </c>
      <c r="D16" s="93">
        <f t="shared" ref="D16:K16" si="4">D17+D20</f>
        <v>620428</v>
      </c>
      <c r="E16" s="93">
        <f t="shared" si="4"/>
        <v>478837.05000000005</v>
      </c>
      <c r="F16" s="93">
        <f t="shared" si="4"/>
        <v>0</v>
      </c>
      <c r="G16" s="93">
        <f t="shared" si="4"/>
        <v>0</v>
      </c>
      <c r="H16" s="93">
        <f t="shared" si="4"/>
        <v>0</v>
      </c>
      <c r="I16" s="93">
        <f t="shared" si="4"/>
        <v>465903</v>
      </c>
      <c r="J16" s="93">
        <f t="shared" si="4"/>
        <v>154525</v>
      </c>
      <c r="K16" s="93">
        <f t="shared" si="4"/>
        <v>12934.050000000014</v>
      </c>
    </row>
    <row r="17" spans="1:11" ht="18.75" customHeight="1">
      <c r="A17" s="94" t="s">
        <v>24</v>
      </c>
      <c r="B17" s="41"/>
      <c r="C17" s="95" t="s">
        <v>186</v>
      </c>
      <c r="D17" s="96">
        <v>476519</v>
      </c>
      <c r="E17" s="96">
        <f>354277.68+13029.82+1301.68</f>
        <v>368609.18</v>
      </c>
      <c r="F17" s="36"/>
      <c r="G17" s="36"/>
      <c r="H17" s="36"/>
      <c r="I17" s="36">
        <v>354611.31</v>
      </c>
      <c r="J17" s="36">
        <f>D17-I17</f>
        <v>121907.69</v>
      </c>
      <c r="K17" s="36">
        <f>E17-I17</f>
        <v>13997.869999999995</v>
      </c>
    </row>
    <row r="18" spans="1:11">
      <c r="A18" s="98" t="s">
        <v>110</v>
      </c>
      <c r="B18" s="41"/>
      <c r="C18" s="95" t="s">
        <v>187</v>
      </c>
      <c r="D18" s="36">
        <v>104834</v>
      </c>
      <c r="E18" s="36">
        <f>2444.21+78086.49+431.49</f>
        <v>80962.190000000017</v>
      </c>
      <c r="F18" s="36"/>
      <c r="G18" s="36"/>
      <c r="H18" s="36"/>
      <c r="I18" s="36">
        <v>80957.17</v>
      </c>
      <c r="J18" s="36">
        <f>D18-I18</f>
        <v>23876.83</v>
      </c>
      <c r="K18" s="36">
        <f>E18-I18</f>
        <v>5.0200000000186265</v>
      </c>
    </row>
    <row r="19" spans="1:11" ht="14.25" customHeight="1">
      <c r="A19" s="98" t="s">
        <v>111</v>
      </c>
      <c r="B19" s="41"/>
      <c r="C19" s="95" t="s">
        <v>188</v>
      </c>
      <c r="D19" s="36">
        <v>39075</v>
      </c>
      <c r="E19" s="36">
        <f>29104.84+160.84</f>
        <v>29265.68</v>
      </c>
      <c r="F19" s="36"/>
      <c r="G19" s="36"/>
      <c r="H19" s="36"/>
      <c r="I19" s="36">
        <v>30334.52</v>
      </c>
      <c r="J19" s="36">
        <f>D19-I19</f>
        <v>8740.48</v>
      </c>
      <c r="K19" s="36">
        <f>E19-I19</f>
        <v>-1068.8400000000001</v>
      </c>
    </row>
    <row r="20" spans="1:11" s="102" customFormat="1" ht="13.5">
      <c r="A20" s="69" t="s">
        <v>157</v>
      </c>
      <c r="B20" s="99"/>
      <c r="C20" s="42"/>
      <c r="D20" s="100">
        <f t="shared" ref="D20:K20" si="5">SUM(D18:D19)</f>
        <v>143909</v>
      </c>
      <c r="E20" s="101">
        <f t="shared" si="5"/>
        <v>110227.87000000002</v>
      </c>
      <c r="F20" s="101">
        <f t="shared" si="5"/>
        <v>0</v>
      </c>
      <c r="G20" s="101">
        <f t="shared" si="5"/>
        <v>0</v>
      </c>
      <c r="H20" s="101">
        <f t="shared" si="5"/>
        <v>0</v>
      </c>
      <c r="I20" s="101">
        <f t="shared" si="5"/>
        <v>111291.69</v>
      </c>
      <c r="J20" s="101">
        <f t="shared" si="5"/>
        <v>32617.31</v>
      </c>
      <c r="K20" s="101">
        <f t="shared" si="5"/>
        <v>-1063.8199999999815</v>
      </c>
    </row>
    <row r="21" spans="1:11" s="102" customFormat="1" ht="13.5">
      <c r="A21" s="103"/>
      <c r="B21" s="99"/>
      <c r="C21" s="42"/>
      <c r="D21" s="100"/>
      <c r="E21" s="101"/>
      <c r="F21" s="101"/>
      <c r="G21" s="101"/>
      <c r="H21" s="101"/>
      <c r="I21" s="101"/>
      <c r="J21" s="101"/>
      <c r="K21" s="101"/>
    </row>
    <row r="22" spans="1:11" s="102" customFormat="1" ht="51.75">
      <c r="A22" s="65" t="s">
        <v>141</v>
      </c>
      <c r="B22" s="99"/>
      <c r="C22" s="42" t="s">
        <v>182</v>
      </c>
      <c r="D22" s="101">
        <f>D23+D86+D82</f>
        <v>3804783.3299999996</v>
      </c>
      <c r="E22" s="101">
        <f t="shared" ref="E22:K22" si="6">E23+E86+E82</f>
        <v>3109771.0199999996</v>
      </c>
      <c r="F22" s="101">
        <f t="shared" si="6"/>
        <v>3294</v>
      </c>
      <c r="G22" s="101">
        <f t="shared" si="6"/>
        <v>0</v>
      </c>
      <c r="H22" s="101">
        <f t="shared" si="6"/>
        <v>0</v>
      </c>
      <c r="I22" s="101">
        <f t="shared" si="6"/>
        <v>2569871.85</v>
      </c>
      <c r="J22" s="101">
        <f t="shared" si="6"/>
        <v>1206967.8299999996</v>
      </c>
      <c r="K22" s="101">
        <f t="shared" si="6"/>
        <v>511955.51999999973</v>
      </c>
    </row>
    <row r="23" spans="1:11" s="79" customFormat="1" ht="27">
      <c r="A23" s="103" t="s">
        <v>271</v>
      </c>
      <c r="B23" s="78"/>
      <c r="C23" s="44" t="s">
        <v>270</v>
      </c>
      <c r="D23" s="45">
        <f>D44+D56+D57+D59+D68+D73+D70+D75+D74+D78+D81</f>
        <v>3804283.3299999996</v>
      </c>
      <c r="E23" s="45">
        <f t="shared" ref="E23:I23" si="7">E44+E56+E57+E59+E68+E73+E70+E75+E74+E78+E81</f>
        <v>3109271.0199999996</v>
      </c>
      <c r="F23" s="45">
        <f t="shared" si="7"/>
        <v>3294</v>
      </c>
      <c r="G23" s="45">
        <f t="shared" si="7"/>
        <v>0</v>
      </c>
      <c r="H23" s="45">
        <f t="shared" si="7"/>
        <v>0</v>
      </c>
      <c r="I23" s="45">
        <f t="shared" si="7"/>
        <v>2569871.85</v>
      </c>
      <c r="J23" s="45">
        <f t="shared" ref="J23:K23" si="8">J44+J56+J57+J59+J68+J73+J70+J75+J74</f>
        <v>1206467.8299999996</v>
      </c>
      <c r="K23" s="45">
        <f t="shared" si="8"/>
        <v>511455.51999999973</v>
      </c>
    </row>
    <row r="24" spans="1:11" hidden="1">
      <c r="A24" s="94" t="s">
        <v>24</v>
      </c>
      <c r="B24" s="41"/>
      <c r="C24" s="95" t="s">
        <v>123</v>
      </c>
      <c r="D24" s="36"/>
      <c r="E24" s="36"/>
      <c r="F24" s="36"/>
      <c r="G24" s="36"/>
      <c r="H24" s="36"/>
      <c r="I24" s="36"/>
      <c r="J24" s="36">
        <f>D24-I24</f>
        <v>0</v>
      </c>
      <c r="K24" s="36">
        <f>E24-I24</f>
        <v>0</v>
      </c>
    </row>
    <row r="25" spans="1:11" hidden="1">
      <c r="A25" s="98" t="s">
        <v>110</v>
      </c>
      <c r="B25" s="41"/>
      <c r="C25" s="95" t="s">
        <v>124</v>
      </c>
      <c r="D25" s="36"/>
      <c r="E25" s="36"/>
      <c r="F25" s="36"/>
      <c r="G25" s="36"/>
      <c r="H25" s="36"/>
      <c r="I25" s="36"/>
      <c r="J25" s="36">
        <f>D25-I25</f>
        <v>0</v>
      </c>
      <c r="K25" s="36">
        <f>E25-I25</f>
        <v>0</v>
      </c>
    </row>
    <row r="26" spans="1:11" ht="14.25" hidden="1" customHeight="1">
      <c r="A26" s="98" t="s">
        <v>111</v>
      </c>
      <c r="B26" s="41"/>
      <c r="C26" s="95" t="s">
        <v>125</v>
      </c>
      <c r="D26" s="36"/>
      <c r="E26" s="36"/>
      <c r="F26" s="36"/>
      <c r="G26" s="36"/>
      <c r="H26" s="36"/>
      <c r="I26" s="36"/>
      <c r="J26" s="36">
        <f>D26-I26</f>
        <v>0</v>
      </c>
      <c r="K26" s="36">
        <f>E26-I26</f>
        <v>0</v>
      </c>
    </row>
    <row r="27" spans="1:11" s="102" customFormat="1" ht="13.5" hidden="1">
      <c r="A27" s="103" t="s">
        <v>88</v>
      </c>
      <c r="B27" s="99"/>
      <c r="C27" s="42"/>
      <c r="D27" s="101">
        <f t="shared" ref="D27:K27" si="9">SUM(D25:D26)</f>
        <v>0</v>
      </c>
      <c r="E27" s="101">
        <f t="shared" si="9"/>
        <v>0</v>
      </c>
      <c r="F27" s="101">
        <f t="shared" si="9"/>
        <v>0</v>
      </c>
      <c r="G27" s="101">
        <f t="shared" si="9"/>
        <v>0</v>
      </c>
      <c r="H27" s="101">
        <f t="shared" si="9"/>
        <v>0</v>
      </c>
      <c r="I27" s="101">
        <f t="shared" si="9"/>
        <v>0</v>
      </c>
      <c r="J27" s="101">
        <f t="shared" si="9"/>
        <v>0</v>
      </c>
      <c r="K27" s="101">
        <f t="shared" si="9"/>
        <v>0</v>
      </c>
    </row>
    <row r="28" spans="1:11" s="79" customFormat="1" hidden="1">
      <c r="A28" s="104" t="s">
        <v>126</v>
      </c>
      <c r="B28" s="78"/>
      <c r="C28" s="95"/>
      <c r="D28" s="45">
        <f>D24+D27</f>
        <v>0</v>
      </c>
      <c r="E28" s="45">
        <f t="shared" ref="E28:K28" si="10">E24+E27</f>
        <v>0</v>
      </c>
      <c r="F28" s="45">
        <f t="shared" si="10"/>
        <v>0</v>
      </c>
      <c r="G28" s="45">
        <f t="shared" si="10"/>
        <v>0</v>
      </c>
      <c r="H28" s="45">
        <f t="shared" si="10"/>
        <v>0</v>
      </c>
      <c r="I28" s="45">
        <f t="shared" si="10"/>
        <v>0</v>
      </c>
      <c r="J28" s="45">
        <f t="shared" si="10"/>
        <v>0</v>
      </c>
      <c r="K28" s="45">
        <f t="shared" si="10"/>
        <v>0</v>
      </c>
    </row>
    <row r="29" spans="1:11" s="79" customFormat="1" hidden="1">
      <c r="A29" s="104"/>
      <c r="B29" s="78"/>
      <c r="C29" s="95"/>
      <c r="D29" s="45"/>
      <c r="E29" s="45"/>
      <c r="F29" s="45"/>
      <c r="G29" s="45"/>
      <c r="H29" s="45"/>
      <c r="I29" s="45"/>
      <c r="J29" s="45"/>
      <c r="K29" s="45"/>
    </row>
    <row r="30" spans="1:11" s="79" customFormat="1" hidden="1">
      <c r="A30" s="104" t="s">
        <v>117</v>
      </c>
      <c r="B30" s="78"/>
      <c r="C30" s="95"/>
      <c r="D30" s="45"/>
      <c r="E30" s="45"/>
      <c r="F30" s="45"/>
      <c r="G30" s="45"/>
      <c r="H30" s="45"/>
      <c r="I30" s="45"/>
      <c r="J30" s="45"/>
      <c r="K30" s="45"/>
    </row>
    <row r="31" spans="1:11" hidden="1">
      <c r="A31" s="94" t="s">
        <v>24</v>
      </c>
      <c r="B31" s="41"/>
      <c r="C31" s="95" t="s">
        <v>96</v>
      </c>
      <c r="D31" s="36"/>
      <c r="E31" s="36"/>
      <c r="F31" s="36"/>
      <c r="G31" s="36"/>
      <c r="H31" s="36"/>
      <c r="I31" s="36"/>
      <c r="J31" s="36">
        <f>D31-I31</f>
        <v>0</v>
      </c>
      <c r="K31" s="36">
        <f>E31-I31</f>
        <v>0</v>
      </c>
    </row>
    <row r="32" spans="1:11" hidden="1">
      <c r="A32" s="98" t="s">
        <v>110</v>
      </c>
      <c r="B32" s="41"/>
      <c r="C32" s="95" t="s">
        <v>97</v>
      </c>
      <c r="D32" s="36"/>
      <c r="E32" s="36"/>
      <c r="F32" s="36"/>
      <c r="G32" s="36"/>
      <c r="H32" s="36"/>
      <c r="I32" s="36"/>
      <c r="J32" s="36">
        <f>D32-I32</f>
        <v>0</v>
      </c>
      <c r="K32" s="36">
        <f>E32-I32</f>
        <v>0</v>
      </c>
    </row>
    <row r="33" spans="1:11" ht="14.25" hidden="1" customHeight="1">
      <c r="A33" s="105" t="s">
        <v>111</v>
      </c>
      <c r="B33" s="41"/>
      <c r="C33" s="95" t="s">
        <v>98</v>
      </c>
      <c r="D33" s="36"/>
      <c r="E33" s="36"/>
      <c r="F33" s="36"/>
      <c r="G33" s="36"/>
      <c r="H33" s="36"/>
      <c r="I33" s="36"/>
      <c r="J33" s="36">
        <f>D33-I33</f>
        <v>0</v>
      </c>
      <c r="K33" s="36">
        <f>E33-I33</f>
        <v>0</v>
      </c>
    </row>
    <row r="34" spans="1:11" s="102" customFormat="1" ht="13.5" hidden="1">
      <c r="A34" s="103" t="s">
        <v>88</v>
      </c>
      <c r="B34" s="99"/>
      <c r="C34" s="42"/>
      <c r="D34" s="101">
        <f t="shared" ref="D34:K34" si="11">SUM(D32:D33)</f>
        <v>0</v>
      </c>
      <c r="E34" s="101">
        <f t="shared" si="11"/>
        <v>0</v>
      </c>
      <c r="F34" s="101">
        <f t="shared" si="11"/>
        <v>0</v>
      </c>
      <c r="G34" s="101">
        <f t="shared" si="11"/>
        <v>0</v>
      </c>
      <c r="H34" s="101">
        <f t="shared" si="11"/>
        <v>0</v>
      </c>
      <c r="I34" s="101">
        <f t="shared" si="11"/>
        <v>0</v>
      </c>
      <c r="J34" s="101">
        <f t="shared" si="11"/>
        <v>0</v>
      </c>
      <c r="K34" s="101">
        <f t="shared" si="11"/>
        <v>0</v>
      </c>
    </row>
    <row r="35" spans="1:11" s="79" customFormat="1" hidden="1">
      <c r="A35" s="104" t="s">
        <v>103</v>
      </c>
      <c r="B35" s="78"/>
      <c r="C35" s="106"/>
      <c r="D35" s="45">
        <f t="shared" ref="D35:K35" si="12">D31+D34</f>
        <v>0</v>
      </c>
      <c r="E35" s="45">
        <f t="shared" si="12"/>
        <v>0</v>
      </c>
      <c r="F35" s="45">
        <f t="shared" si="12"/>
        <v>0</v>
      </c>
      <c r="G35" s="45">
        <f t="shared" si="12"/>
        <v>0</v>
      </c>
      <c r="H35" s="45">
        <f t="shared" si="12"/>
        <v>0</v>
      </c>
      <c r="I35" s="45">
        <f t="shared" si="12"/>
        <v>0</v>
      </c>
      <c r="J35" s="45">
        <f t="shared" si="12"/>
        <v>0</v>
      </c>
      <c r="K35" s="45">
        <f t="shared" si="12"/>
        <v>0</v>
      </c>
    </row>
    <row r="36" spans="1:11" s="79" customFormat="1" hidden="1">
      <c r="A36" s="104"/>
      <c r="B36" s="78"/>
      <c r="C36" s="106"/>
      <c r="D36" s="45"/>
      <c r="E36" s="45"/>
      <c r="F36" s="45"/>
      <c r="G36" s="45"/>
      <c r="H36" s="45"/>
      <c r="I36" s="45"/>
      <c r="J36" s="45"/>
      <c r="K36" s="45"/>
    </row>
    <row r="37" spans="1:11" s="79" customFormat="1" hidden="1">
      <c r="A37" s="107" t="s">
        <v>108</v>
      </c>
      <c r="B37" s="78"/>
      <c r="C37" s="106"/>
      <c r="D37" s="45"/>
      <c r="E37" s="45"/>
      <c r="F37" s="45"/>
      <c r="G37" s="45"/>
      <c r="H37" s="45"/>
      <c r="I37" s="45"/>
      <c r="J37" s="45"/>
      <c r="K37" s="45"/>
    </row>
    <row r="38" spans="1:11" hidden="1">
      <c r="A38" s="94" t="s">
        <v>24</v>
      </c>
      <c r="B38" s="41"/>
      <c r="C38" s="95" t="s">
        <v>99</v>
      </c>
      <c r="D38" s="36">
        <f t="shared" ref="D38:I38" si="13">D17+D24+D31</f>
        <v>476519</v>
      </c>
      <c r="E38" s="36">
        <f t="shared" si="13"/>
        <v>368609.18</v>
      </c>
      <c r="F38" s="36">
        <f t="shared" si="13"/>
        <v>0</v>
      </c>
      <c r="G38" s="36">
        <f t="shared" si="13"/>
        <v>0</v>
      </c>
      <c r="H38" s="36">
        <f t="shared" si="13"/>
        <v>0</v>
      </c>
      <c r="I38" s="36">
        <f t="shared" si="13"/>
        <v>354611.31</v>
      </c>
      <c r="J38" s="36">
        <f>D38-I38</f>
        <v>121907.69</v>
      </c>
      <c r="K38" s="36">
        <f>E38-I38</f>
        <v>13997.869999999995</v>
      </c>
    </row>
    <row r="39" spans="1:11" ht="38.25" hidden="1">
      <c r="A39" s="94" t="s">
        <v>26</v>
      </c>
      <c r="B39" s="41"/>
      <c r="C39" s="95" t="s">
        <v>100</v>
      </c>
      <c r="D39" s="36" t="e">
        <f>#REF!</f>
        <v>#REF!</v>
      </c>
      <c r="E39" s="36" t="e">
        <f>#REF!</f>
        <v>#REF!</v>
      </c>
      <c r="F39" s="36" t="e">
        <f>#REF!</f>
        <v>#REF!</v>
      </c>
      <c r="G39" s="36" t="e">
        <f>#REF!</f>
        <v>#REF!</v>
      </c>
      <c r="H39" s="36" t="e">
        <f>#REF!</f>
        <v>#REF!</v>
      </c>
      <c r="I39" s="36" t="e">
        <f>#REF!</f>
        <v>#REF!</v>
      </c>
      <c r="J39" s="36" t="e">
        <f>D39-I39</f>
        <v>#REF!</v>
      </c>
      <c r="K39" s="36" t="e">
        <f>E39-I39</f>
        <v>#REF!</v>
      </c>
    </row>
    <row r="40" spans="1:11" hidden="1">
      <c r="A40" s="98" t="s">
        <v>110</v>
      </c>
      <c r="B40" s="41"/>
      <c r="C40" s="95" t="s">
        <v>101</v>
      </c>
      <c r="D40" s="36">
        <f t="shared" ref="D40:I41" si="14">D18+D25+D32</f>
        <v>104834</v>
      </c>
      <c r="E40" s="36">
        <f t="shared" si="14"/>
        <v>80962.190000000017</v>
      </c>
      <c r="F40" s="36">
        <f t="shared" si="14"/>
        <v>0</v>
      </c>
      <c r="G40" s="36">
        <f t="shared" si="14"/>
        <v>0</v>
      </c>
      <c r="H40" s="36">
        <f t="shared" si="14"/>
        <v>0</v>
      </c>
      <c r="I40" s="36">
        <f t="shared" si="14"/>
        <v>80957.17</v>
      </c>
      <c r="J40" s="36">
        <f>D40-I40</f>
        <v>23876.83</v>
      </c>
      <c r="K40" s="36">
        <f>E40-I40</f>
        <v>5.0200000000186265</v>
      </c>
    </row>
    <row r="41" spans="1:11" ht="14.25" hidden="1" customHeight="1">
      <c r="A41" s="98" t="s">
        <v>111</v>
      </c>
      <c r="B41" s="41"/>
      <c r="C41" s="95" t="s">
        <v>102</v>
      </c>
      <c r="D41" s="36">
        <f t="shared" si="14"/>
        <v>39075</v>
      </c>
      <c r="E41" s="36">
        <f t="shared" si="14"/>
        <v>29265.68</v>
      </c>
      <c r="F41" s="36">
        <f t="shared" si="14"/>
        <v>0</v>
      </c>
      <c r="G41" s="36">
        <f t="shared" si="14"/>
        <v>0</v>
      </c>
      <c r="H41" s="36">
        <f t="shared" si="14"/>
        <v>0</v>
      </c>
      <c r="I41" s="36">
        <f t="shared" si="14"/>
        <v>30334.52</v>
      </c>
      <c r="J41" s="36">
        <f>D41-I41</f>
        <v>8740.48</v>
      </c>
      <c r="K41" s="36">
        <f>E41-I41</f>
        <v>-1068.8400000000001</v>
      </c>
    </row>
    <row r="42" spans="1:11" s="102" customFormat="1" ht="13.5" hidden="1">
      <c r="A42" s="103" t="s">
        <v>88</v>
      </c>
      <c r="B42" s="99"/>
      <c r="C42" s="42"/>
      <c r="D42" s="101">
        <f>SUM(D40:D41)</f>
        <v>143909</v>
      </c>
      <c r="E42" s="101">
        <f t="shared" ref="E42:K42" si="15">SUM(E40:E41)</f>
        <v>110227.87000000002</v>
      </c>
      <c r="F42" s="101">
        <f t="shared" si="15"/>
        <v>0</v>
      </c>
      <c r="G42" s="101">
        <f t="shared" si="15"/>
        <v>0</v>
      </c>
      <c r="H42" s="101">
        <f t="shared" si="15"/>
        <v>0</v>
      </c>
      <c r="I42" s="101">
        <f t="shared" si="15"/>
        <v>111291.69</v>
      </c>
      <c r="J42" s="101">
        <f t="shared" si="15"/>
        <v>32617.31</v>
      </c>
      <c r="K42" s="101">
        <f t="shared" si="15"/>
        <v>-1063.8199999999815</v>
      </c>
    </row>
    <row r="43" spans="1:11" s="79" customFormat="1" hidden="1">
      <c r="A43" s="107" t="s">
        <v>107</v>
      </c>
      <c r="B43" s="78"/>
      <c r="C43" s="106"/>
      <c r="D43" s="45" t="e">
        <f>D38+D42+D39</f>
        <v>#REF!</v>
      </c>
      <c r="E43" s="45" t="e">
        <f t="shared" ref="E43:K43" si="16">E38+E42+E39</f>
        <v>#REF!</v>
      </c>
      <c r="F43" s="45" t="e">
        <f t="shared" si="16"/>
        <v>#REF!</v>
      </c>
      <c r="G43" s="45" t="e">
        <f t="shared" si="16"/>
        <v>#REF!</v>
      </c>
      <c r="H43" s="45" t="e">
        <f t="shared" si="16"/>
        <v>#REF!</v>
      </c>
      <c r="I43" s="45" t="e">
        <f t="shared" si="16"/>
        <v>#REF!</v>
      </c>
      <c r="J43" s="45" t="e">
        <f t="shared" si="16"/>
        <v>#REF!</v>
      </c>
      <c r="K43" s="45" t="e">
        <f t="shared" si="16"/>
        <v>#REF!</v>
      </c>
    </row>
    <row r="44" spans="1:11" s="79" customFormat="1" ht="25.5">
      <c r="A44" s="69" t="s">
        <v>156</v>
      </c>
      <c r="B44" s="78"/>
      <c r="C44" s="106"/>
      <c r="D44" s="45">
        <f>D47+D51+D54</f>
        <v>1847006.7</v>
      </c>
      <c r="E44" s="45">
        <f t="shared" ref="E44:K44" si="17">E47+E51+E54</f>
        <v>1493242.49</v>
      </c>
      <c r="F44" s="45">
        <f t="shared" si="17"/>
        <v>0</v>
      </c>
      <c r="G44" s="45">
        <f t="shared" si="17"/>
        <v>0</v>
      </c>
      <c r="H44" s="45">
        <f t="shared" si="17"/>
        <v>0</v>
      </c>
      <c r="I44" s="45">
        <f t="shared" si="17"/>
        <v>1412802.97</v>
      </c>
      <c r="J44" s="45">
        <f t="shared" si="17"/>
        <v>434203.72999999992</v>
      </c>
      <c r="K44" s="45">
        <f t="shared" si="17"/>
        <v>80439.519999999873</v>
      </c>
    </row>
    <row r="45" spans="1:11">
      <c r="A45" s="94" t="s">
        <v>14</v>
      </c>
      <c r="B45" s="41"/>
      <c r="C45" s="95" t="s">
        <v>189</v>
      </c>
      <c r="D45" s="36">
        <v>760435</v>
      </c>
      <c r="E45" s="36">
        <f>590245.09+2049.33</f>
        <v>592294.41999999993</v>
      </c>
      <c r="F45" s="36"/>
      <c r="G45" s="36"/>
      <c r="H45" s="36"/>
      <c r="I45" s="36">
        <v>580356.14</v>
      </c>
      <c r="J45" s="36">
        <f>D45-I45</f>
        <v>180078.86</v>
      </c>
      <c r="K45" s="36">
        <f>E45-I45</f>
        <v>11938.279999999912</v>
      </c>
    </row>
    <row r="46" spans="1:11">
      <c r="A46" s="94" t="s">
        <v>25</v>
      </c>
      <c r="B46" s="41"/>
      <c r="C46" s="95" t="s">
        <v>190</v>
      </c>
      <c r="D46" s="36">
        <f>810531-101591-22510.67-66228.64</f>
        <v>620200.68999999994</v>
      </c>
      <c r="E46" s="36">
        <f>28813.12+480358.95+9878.99</f>
        <v>519051.06</v>
      </c>
      <c r="F46" s="36"/>
      <c r="G46" s="36"/>
      <c r="H46" s="36"/>
      <c r="I46" s="36">
        <v>513214.78</v>
      </c>
      <c r="J46" s="36">
        <f>D46-I46</f>
        <v>106985.90999999992</v>
      </c>
      <c r="K46" s="36">
        <f>E46-I46</f>
        <v>5836.2799999999697</v>
      </c>
    </row>
    <row r="47" spans="1:11" s="102" customFormat="1" ht="13.5">
      <c r="A47" s="103" t="s">
        <v>89</v>
      </c>
      <c r="B47" s="99"/>
      <c r="C47" s="42"/>
      <c r="D47" s="101">
        <f t="shared" ref="D47:K47" si="18">SUM(D45:D46)</f>
        <v>1380635.69</v>
      </c>
      <c r="E47" s="101">
        <f t="shared" si="18"/>
        <v>1111345.48</v>
      </c>
      <c r="F47" s="101">
        <f t="shared" si="18"/>
        <v>0</v>
      </c>
      <c r="G47" s="101">
        <f t="shared" si="18"/>
        <v>0</v>
      </c>
      <c r="H47" s="101">
        <f t="shared" si="18"/>
        <v>0</v>
      </c>
      <c r="I47" s="101">
        <f t="shared" si="18"/>
        <v>1093570.92</v>
      </c>
      <c r="J47" s="101">
        <f t="shared" si="18"/>
        <v>287064.7699999999</v>
      </c>
      <c r="K47" s="101">
        <f t="shared" si="18"/>
        <v>17774.559999999881</v>
      </c>
    </row>
    <row r="48" spans="1:11" ht="46.5" customHeight="1">
      <c r="A48" s="94" t="s">
        <v>26</v>
      </c>
      <c r="B48" s="41"/>
      <c r="C48" s="95" t="s">
        <v>191</v>
      </c>
      <c r="D48" s="36">
        <f>43166-5402-10000</f>
        <v>27764</v>
      </c>
      <c r="E48" s="36">
        <f>37764-10000</f>
        <v>27764</v>
      </c>
      <c r="F48" s="36"/>
      <c r="G48" s="36"/>
      <c r="H48" s="36"/>
      <c r="I48" s="36">
        <v>0</v>
      </c>
      <c r="J48" s="36">
        <f>D48-I48</f>
        <v>27764</v>
      </c>
      <c r="K48" s="36">
        <f>E48-I48</f>
        <v>27764</v>
      </c>
    </row>
    <row r="49" spans="1:11" ht="31.5" customHeight="1">
      <c r="A49" s="94" t="s">
        <v>27</v>
      </c>
      <c r="B49" s="41"/>
      <c r="C49" s="95" t="s">
        <v>192</v>
      </c>
      <c r="D49" s="36">
        <v>18750</v>
      </c>
      <c r="E49" s="36">
        <v>13750</v>
      </c>
      <c r="F49" s="36"/>
      <c r="G49" s="36"/>
      <c r="H49" s="36"/>
      <c r="I49" s="36">
        <v>4500</v>
      </c>
      <c r="J49" s="36">
        <f>D49-I49</f>
        <v>14250</v>
      </c>
      <c r="K49" s="36">
        <f>E49-I49</f>
        <v>9250</v>
      </c>
    </row>
    <row r="50" spans="1:11" ht="31.5" customHeight="1">
      <c r="A50" s="94" t="s">
        <v>27</v>
      </c>
      <c r="B50" s="41"/>
      <c r="C50" s="95" t="s">
        <v>459</v>
      </c>
      <c r="D50" s="36">
        <v>3095</v>
      </c>
      <c r="E50" s="36">
        <v>3095</v>
      </c>
      <c r="F50" s="36"/>
      <c r="G50" s="36"/>
      <c r="H50" s="36"/>
      <c r="I50" s="36">
        <v>0</v>
      </c>
      <c r="J50" s="36">
        <f>D50-I50</f>
        <v>3095</v>
      </c>
      <c r="K50" s="36">
        <f>E50-I50</f>
        <v>3095</v>
      </c>
    </row>
    <row r="51" spans="1:11" s="102" customFormat="1" ht="13.5">
      <c r="A51" s="103" t="s">
        <v>158</v>
      </c>
      <c r="B51" s="99"/>
      <c r="C51" s="42"/>
      <c r="D51" s="101">
        <f t="shared" ref="D51:K51" si="19">SUM(D48:D50)</f>
        <v>49609</v>
      </c>
      <c r="E51" s="101">
        <f t="shared" si="19"/>
        <v>44609</v>
      </c>
      <c r="F51" s="101">
        <f t="shared" si="19"/>
        <v>0</v>
      </c>
      <c r="G51" s="101">
        <f t="shared" si="19"/>
        <v>0</v>
      </c>
      <c r="H51" s="101">
        <f t="shared" si="19"/>
        <v>0</v>
      </c>
      <c r="I51" s="101">
        <f t="shared" si="19"/>
        <v>4500</v>
      </c>
      <c r="J51" s="101">
        <f t="shared" si="19"/>
        <v>45109</v>
      </c>
      <c r="K51" s="101">
        <f t="shared" si="19"/>
        <v>40109</v>
      </c>
    </row>
    <row r="52" spans="1:11">
      <c r="A52" s="108" t="s">
        <v>110</v>
      </c>
      <c r="B52" s="41"/>
      <c r="C52" s="95" t="s">
        <v>193</v>
      </c>
      <c r="D52" s="36">
        <f>345612-22350-17798.85</f>
        <v>305463.15000000002</v>
      </c>
      <c r="E52" s="36">
        <v>249727.15</v>
      </c>
      <c r="F52" s="36"/>
      <c r="G52" s="36"/>
      <c r="H52" s="36"/>
      <c r="I52" s="36">
        <v>235721.78</v>
      </c>
      <c r="J52" s="36">
        <f>D52-I52</f>
        <v>69741.370000000024</v>
      </c>
      <c r="K52" s="36">
        <f>E52-I52</f>
        <v>14005.369999999995</v>
      </c>
    </row>
    <row r="53" spans="1:11">
      <c r="A53" s="108" t="s">
        <v>111</v>
      </c>
      <c r="B53" s="41"/>
      <c r="C53" s="95" t="s">
        <v>194</v>
      </c>
      <c r="D53" s="36">
        <f>128820-8330-9191.14</f>
        <v>111298.86</v>
      </c>
      <c r="E53" s="36">
        <v>87560.86</v>
      </c>
      <c r="F53" s="36"/>
      <c r="G53" s="36"/>
      <c r="H53" s="36"/>
      <c r="I53" s="36">
        <v>79010.27</v>
      </c>
      <c r="J53" s="36">
        <f>D53-I53</f>
        <v>32288.589999999997</v>
      </c>
      <c r="K53" s="36">
        <f>E53-I53</f>
        <v>8550.5899999999965</v>
      </c>
    </row>
    <row r="54" spans="1:11" s="102" customFormat="1" ht="13.5">
      <c r="A54" s="69" t="s">
        <v>157</v>
      </c>
      <c r="B54" s="99"/>
      <c r="C54" s="42"/>
      <c r="D54" s="101">
        <f t="shared" ref="D54:K54" si="20">SUM(D52:D53)</f>
        <v>416762.01</v>
      </c>
      <c r="E54" s="101">
        <f t="shared" si="20"/>
        <v>337288.01</v>
      </c>
      <c r="F54" s="101">
        <f t="shared" si="20"/>
        <v>0</v>
      </c>
      <c r="G54" s="101">
        <f t="shared" si="20"/>
        <v>0</v>
      </c>
      <c r="H54" s="101">
        <f t="shared" si="20"/>
        <v>0</v>
      </c>
      <c r="I54" s="101">
        <f t="shared" si="20"/>
        <v>314732.05</v>
      </c>
      <c r="J54" s="101">
        <f t="shared" si="20"/>
        <v>102029.96000000002</v>
      </c>
      <c r="K54" s="101">
        <f t="shared" si="20"/>
        <v>22555.959999999992</v>
      </c>
    </row>
    <row r="55" spans="1:11" s="102" customFormat="1" ht="13.5">
      <c r="A55" s="69"/>
      <c r="B55" s="99"/>
      <c r="C55" s="42"/>
      <c r="D55" s="101"/>
      <c r="E55" s="101"/>
      <c r="F55" s="101"/>
      <c r="G55" s="101"/>
      <c r="H55" s="101"/>
      <c r="I55" s="101"/>
      <c r="J55" s="101"/>
      <c r="K55" s="101"/>
    </row>
    <row r="56" spans="1:11">
      <c r="A56" s="94" t="s">
        <v>16</v>
      </c>
      <c r="B56" s="41"/>
      <c r="C56" s="95" t="s">
        <v>195</v>
      </c>
      <c r="D56" s="36">
        <v>14388</v>
      </c>
      <c r="E56" s="36">
        <v>10388</v>
      </c>
      <c r="F56" s="36"/>
      <c r="G56" s="36"/>
      <c r="H56" s="36"/>
      <c r="I56" s="36">
        <v>8789.2000000000007</v>
      </c>
      <c r="J56" s="36">
        <f>D56-I56</f>
        <v>5598.7999999999993</v>
      </c>
      <c r="K56" s="36">
        <f>E56-I56</f>
        <v>1598.7999999999993</v>
      </c>
    </row>
    <row r="57" spans="1:11">
      <c r="A57" s="94" t="s">
        <v>19</v>
      </c>
      <c r="B57" s="41"/>
      <c r="C57" s="95" t="s">
        <v>253</v>
      </c>
      <c r="D57" s="36">
        <f>15650-5958.33</f>
        <v>9691.67</v>
      </c>
      <c r="E57" s="36">
        <f>11525-5958.33</f>
        <v>5566.67</v>
      </c>
      <c r="F57" s="36"/>
      <c r="G57" s="36"/>
      <c r="H57" s="36"/>
      <c r="I57" s="36">
        <v>1200</v>
      </c>
      <c r="J57" s="36">
        <f>D57-I57</f>
        <v>8491.67</v>
      </c>
      <c r="K57" s="36">
        <f>E57-I57</f>
        <v>4366.67</v>
      </c>
    </row>
    <row r="58" spans="1:11">
      <c r="A58" s="94"/>
      <c r="B58" s="41"/>
      <c r="C58" s="109"/>
      <c r="D58" s="36"/>
      <c r="E58" s="36"/>
      <c r="F58" s="36"/>
      <c r="G58" s="36"/>
      <c r="H58" s="36"/>
      <c r="I58" s="36"/>
      <c r="J58" s="36"/>
      <c r="K58" s="36"/>
    </row>
    <row r="59" spans="1:11">
      <c r="A59" s="69" t="s">
        <v>148</v>
      </c>
      <c r="B59" s="41"/>
      <c r="C59" s="110" t="s">
        <v>165</v>
      </c>
      <c r="D59" s="36">
        <f>D60+D61+D65+D66+D67</f>
        <v>1484323.07</v>
      </c>
      <c r="E59" s="36">
        <f>E60+E61+E65+E66+E67</f>
        <v>1194167.97</v>
      </c>
      <c r="F59" s="36">
        <f t="shared" ref="F59:K59" si="21">F60+F61+F65+F66+F67</f>
        <v>3294</v>
      </c>
      <c r="G59" s="36">
        <f t="shared" si="21"/>
        <v>0</v>
      </c>
      <c r="H59" s="36">
        <f t="shared" si="21"/>
        <v>0</v>
      </c>
      <c r="I59" s="36">
        <f t="shared" si="21"/>
        <v>826154.78</v>
      </c>
      <c r="J59" s="36">
        <f t="shared" si="21"/>
        <v>658168.28999999992</v>
      </c>
      <c r="K59" s="36">
        <f t="shared" si="21"/>
        <v>368013.18999999989</v>
      </c>
    </row>
    <row r="60" spans="1:11">
      <c r="A60" s="94" t="s">
        <v>15</v>
      </c>
      <c r="B60" s="41"/>
      <c r="C60" s="95" t="s">
        <v>254</v>
      </c>
      <c r="D60" s="36">
        <v>31908</v>
      </c>
      <c r="E60" s="36">
        <v>24611.49</v>
      </c>
      <c r="F60" s="36"/>
      <c r="G60" s="36"/>
      <c r="H60" s="36"/>
      <c r="I60" s="36">
        <v>17736.89</v>
      </c>
      <c r="J60" s="36">
        <f>D60-I60</f>
        <v>14171.11</v>
      </c>
      <c r="K60" s="36">
        <f>E60-I60</f>
        <v>6874.6000000000022</v>
      </c>
    </row>
    <row r="61" spans="1:11">
      <c r="A61" s="94" t="s">
        <v>16</v>
      </c>
      <c r="B61" s="41"/>
      <c r="C61" s="95" t="s">
        <v>196</v>
      </c>
      <c r="D61" s="36">
        <v>23378</v>
      </c>
      <c r="E61" s="36">
        <v>23378</v>
      </c>
      <c r="F61" s="36"/>
      <c r="G61" s="36"/>
      <c r="H61" s="36"/>
      <c r="I61" s="36">
        <v>23378</v>
      </c>
      <c r="J61" s="36">
        <f>D61-I61</f>
        <v>0</v>
      </c>
      <c r="K61" s="36">
        <f>E61-I61</f>
        <v>0</v>
      </c>
    </row>
    <row r="62" spans="1:11">
      <c r="A62" s="94" t="s">
        <v>32</v>
      </c>
      <c r="B62" s="41"/>
      <c r="C62" s="95" t="s">
        <v>197</v>
      </c>
      <c r="D62" s="36">
        <v>1173868</v>
      </c>
      <c r="E62" s="36">
        <v>936596</v>
      </c>
      <c r="F62" s="36"/>
      <c r="G62" s="36"/>
      <c r="H62" s="36"/>
      <c r="I62" s="36">
        <v>661697.91</v>
      </c>
      <c r="J62" s="36">
        <f>D62-I62</f>
        <v>512170.08999999997</v>
      </c>
      <c r="K62" s="36">
        <f>E62-I62</f>
        <v>274898.08999999997</v>
      </c>
    </row>
    <row r="63" spans="1:11">
      <c r="A63" s="94" t="s">
        <v>28</v>
      </c>
      <c r="B63" s="41"/>
      <c r="C63" s="95" t="s">
        <v>198</v>
      </c>
      <c r="D63" s="36">
        <v>126420</v>
      </c>
      <c r="E63" s="36">
        <v>102519.03999999999</v>
      </c>
      <c r="F63" s="36"/>
      <c r="G63" s="36"/>
      <c r="H63" s="36"/>
      <c r="I63" s="36">
        <v>41453.93</v>
      </c>
      <c r="J63" s="36">
        <f>D63-I63</f>
        <v>84966.07</v>
      </c>
      <c r="K63" s="36">
        <f>E63-I63</f>
        <v>61065.109999999993</v>
      </c>
    </row>
    <row r="64" spans="1:11" ht="12.75" customHeight="1">
      <c r="A64" s="94" t="s">
        <v>29</v>
      </c>
      <c r="B64" s="41"/>
      <c r="C64" s="95" t="s">
        <v>199</v>
      </c>
      <c r="D64" s="36">
        <v>10978</v>
      </c>
      <c r="E64" s="36">
        <f>8738.12+655.8+504.12</f>
        <v>9898.0400000000009</v>
      </c>
      <c r="F64" s="36">
        <v>3294</v>
      </c>
      <c r="G64" s="36"/>
      <c r="H64" s="36"/>
      <c r="I64" s="36">
        <v>7944.82</v>
      </c>
      <c r="J64" s="36">
        <f>D64-I64</f>
        <v>3033.1800000000003</v>
      </c>
      <c r="K64" s="36">
        <f>E64-I64</f>
        <v>1953.2200000000012</v>
      </c>
    </row>
    <row r="65" spans="1:11" s="102" customFormat="1" ht="17.25" customHeight="1">
      <c r="A65" s="69" t="s">
        <v>17</v>
      </c>
      <c r="B65" s="99"/>
      <c r="C65" s="42"/>
      <c r="D65" s="101">
        <f>SUM(D62:D64)</f>
        <v>1311266</v>
      </c>
      <c r="E65" s="101">
        <f t="shared" ref="E65:K65" si="22">SUM(E62:E64)</f>
        <v>1049013.08</v>
      </c>
      <c r="F65" s="101">
        <f t="shared" si="22"/>
        <v>3294</v>
      </c>
      <c r="G65" s="101">
        <f t="shared" si="22"/>
        <v>0</v>
      </c>
      <c r="H65" s="101">
        <f t="shared" si="22"/>
        <v>0</v>
      </c>
      <c r="I65" s="101">
        <f t="shared" si="22"/>
        <v>711096.66</v>
      </c>
      <c r="J65" s="101">
        <f t="shared" si="22"/>
        <v>600169.34</v>
      </c>
      <c r="K65" s="101">
        <f t="shared" si="22"/>
        <v>337916.41999999993</v>
      </c>
    </row>
    <row r="66" spans="1:11">
      <c r="A66" s="94" t="s">
        <v>18</v>
      </c>
      <c r="B66" s="41"/>
      <c r="C66" s="95" t="s">
        <v>200</v>
      </c>
      <c r="D66" s="36">
        <v>53353</v>
      </c>
      <c r="E66" s="36">
        <v>53353</v>
      </c>
      <c r="F66" s="36"/>
      <c r="G66" s="36"/>
      <c r="H66" s="36"/>
      <c r="I66" s="36">
        <v>35792.03</v>
      </c>
      <c r="J66" s="36">
        <f t="shared" ref="J66:J72" si="23">D66-I66</f>
        <v>17560.97</v>
      </c>
      <c r="K66" s="36">
        <f t="shared" ref="K66:K72" si="24">E66-I66</f>
        <v>17560.97</v>
      </c>
    </row>
    <row r="67" spans="1:11">
      <c r="A67" s="94" t="s">
        <v>19</v>
      </c>
      <c r="B67" s="41"/>
      <c r="C67" s="95" t="s">
        <v>255</v>
      </c>
      <c r="D67" s="36">
        <f>35378+13943.13+15096.94</f>
        <v>64418.07</v>
      </c>
      <c r="E67" s="36">
        <f>41387.33+456.87+1968.2</f>
        <v>43812.4</v>
      </c>
      <c r="F67" s="36"/>
      <c r="G67" s="36"/>
      <c r="H67" s="36"/>
      <c r="I67" s="36">
        <v>38151.199999999997</v>
      </c>
      <c r="J67" s="36">
        <f t="shared" si="23"/>
        <v>26266.870000000003</v>
      </c>
      <c r="K67" s="36">
        <f t="shared" si="24"/>
        <v>5661.2000000000044</v>
      </c>
    </row>
    <row r="68" spans="1:11">
      <c r="A68" s="94" t="s">
        <v>20</v>
      </c>
      <c r="B68" s="41"/>
      <c r="C68" s="95" t="s">
        <v>201</v>
      </c>
      <c r="D68" s="36">
        <f>11122+594.5-3095</f>
        <v>8621.5</v>
      </c>
      <c r="E68" s="36">
        <v>4116.5</v>
      </c>
      <c r="F68" s="36"/>
      <c r="G68" s="36"/>
      <c r="H68" s="36"/>
      <c r="I68" s="36">
        <v>0</v>
      </c>
      <c r="J68" s="36">
        <f t="shared" si="23"/>
        <v>8621.5</v>
      </c>
      <c r="K68" s="36">
        <f t="shared" si="24"/>
        <v>4116.5</v>
      </c>
    </row>
    <row r="69" spans="1:11" hidden="1">
      <c r="A69" s="94"/>
      <c r="B69" s="41"/>
      <c r="C69" s="95"/>
      <c r="D69" s="36"/>
      <c r="E69" s="36"/>
      <c r="F69" s="36"/>
      <c r="G69" s="36"/>
      <c r="H69" s="36"/>
      <c r="I69" s="36"/>
      <c r="J69" s="36"/>
      <c r="K69" s="36"/>
    </row>
    <row r="70" spans="1:11">
      <c r="A70" s="94" t="s">
        <v>21</v>
      </c>
      <c r="B70" s="41"/>
      <c r="C70" s="95" t="s">
        <v>290</v>
      </c>
      <c r="D70" s="36">
        <f>38713.36+194064</f>
        <v>232777.36</v>
      </c>
      <c r="E70" s="36">
        <f>194064+38713.36</f>
        <v>232777.36</v>
      </c>
      <c r="F70" s="36"/>
      <c r="G70" s="36"/>
      <c r="H70" s="36"/>
      <c r="I70" s="36">
        <v>220991</v>
      </c>
      <c r="J70" s="36">
        <f>D70-I70</f>
        <v>11786.359999999986</v>
      </c>
      <c r="K70" s="36">
        <f>E70-I70</f>
        <v>11786.359999999986</v>
      </c>
    </row>
    <row r="71" spans="1:11" ht="25.5">
      <c r="A71" s="94" t="s">
        <v>31</v>
      </c>
      <c r="B71" s="41"/>
      <c r="C71" s="95" t="s">
        <v>202</v>
      </c>
      <c r="D71" s="36">
        <v>140046</v>
      </c>
      <c r="E71" s="36">
        <v>105046</v>
      </c>
      <c r="F71" s="36"/>
      <c r="G71" s="36"/>
      <c r="H71" s="36"/>
      <c r="I71" s="36">
        <v>68958.100000000006</v>
      </c>
      <c r="J71" s="36">
        <f t="shared" si="23"/>
        <v>71087.899999999994</v>
      </c>
      <c r="K71" s="36">
        <f t="shared" si="24"/>
        <v>36087.899999999994</v>
      </c>
    </row>
    <row r="72" spans="1:11" ht="25.5" customHeight="1">
      <c r="A72" s="98" t="s">
        <v>185</v>
      </c>
      <c r="B72" s="41"/>
      <c r="C72" s="95" t="s">
        <v>203</v>
      </c>
      <c r="D72" s="36">
        <v>7063</v>
      </c>
      <c r="E72" s="36">
        <v>5500</v>
      </c>
      <c r="F72" s="36"/>
      <c r="G72" s="36"/>
      <c r="H72" s="36"/>
      <c r="I72" s="36">
        <v>2100</v>
      </c>
      <c r="J72" s="36">
        <f t="shared" si="23"/>
        <v>4963</v>
      </c>
      <c r="K72" s="36">
        <f t="shared" si="24"/>
        <v>3400</v>
      </c>
    </row>
    <row r="73" spans="1:11" s="102" customFormat="1" ht="12.75" customHeight="1">
      <c r="A73" s="69" t="s">
        <v>155</v>
      </c>
      <c r="B73" s="99"/>
      <c r="C73" s="42"/>
      <c r="D73" s="101">
        <f>SUM(D71:D72)</f>
        <v>147109</v>
      </c>
      <c r="E73" s="101">
        <f t="shared" ref="E73:K73" si="25">SUM(E71:E72)</f>
        <v>110546</v>
      </c>
      <c r="F73" s="101">
        <f t="shared" si="25"/>
        <v>0</v>
      </c>
      <c r="G73" s="101">
        <f t="shared" si="25"/>
        <v>0</v>
      </c>
      <c r="H73" s="101">
        <f t="shared" si="25"/>
        <v>0</v>
      </c>
      <c r="I73" s="101">
        <f t="shared" si="25"/>
        <v>71058.100000000006</v>
      </c>
      <c r="J73" s="101">
        <f t="shared" si="25"/>
        <v>76050.899999999994</v>
      </c>
      <c r="K73" s="101">
        <f t="shared" si="25"/>
        <v>39487.899999999994</v>
      </c>
    </row>
    <row r="74" spans="1:11">
      <c r="A74" s="94" t="s">
        <v>20</v>
      </c>
      <c r="B74" s="41"/>
      <c r="C74" s="95" t="s">
        <v>447</v>
      </c>
      <c r="D74" s="36">
        <v>19589.400000000001</v>
      </c>
      <c r="E74" s="36">
        <v>19589.400000000001</v>
      </c>
      <c r="F74" s="36"/>
      <c r="G74" s="36"/>
      <c r="H74" s="36"/>
      <c r="I74" s="36">
        <v>19589.400000000001</v>
      </c>
      <c r="J74" s="36">
        <f>D74-I74</f>
        <v>0</v>
      </c>
      <c r="K74" s="36">
        <f>E74-I74</f>
        <v>0</v>
      </c>
    </row>
    <row r="75" spans="1:11">
      <c r="A75" s="94" t="s">
        <v>20</v>
      </c>
      <c r="B75" s="41"/>
      <c r="C75" s="95" t="s">
        <v>204</v>
      </c>
      <c r="D75" s="36">
        <v>4394</v>
      </c>
      <c r="E75" s="36">
        <v>2494</v>
      </c>
      <c r="F75" s="36"/>
      <c r="G75" s="36"/>
      <c r="H75" s="36"/>
      <c r="I75" s="36">
        <v>847.42</v>
      </c>
      <c r="J75" s="36">
        <f>D75-I75</f>
        <v>3546.58</v>
      </c>
      <c r="K75" s="36">
        <f>E75-I75</f>
        <v>1646.58</v>
      </c>
    </row>
    <row r="76" spans="1:11">
      <c r="A76" s="94"/>
      <c r="B76" s="41"/>
      <c r="C76" s="95"/>
      <c r="D76" s="36"/>
      <c r="E76" s="36"/>
      <c r="F76" s="36"/>
      <c r="G76" s="36"/>
      <c r="H76" s="36"/>
      <c r="I76" s="36"/>
      <c r="J76" s="36"/>
      <c r="K76" s="36"/>
    </row>
    <row r="77" spans="1:11">
      <c r="A77" s="94"/>
      <c r="B77" s="41"/>
      <c r="C77" s="95"/>
      <c r="D77" s="36"/>
      <c r="E77" s="36"/>
      <c r="F77" s="36"/>
      <c r="G77" s="36"/>
      <c r="H77" s="36"/>
      <c r="I77" s="36"/>
      <c r="J77" s="36"/>
      <c r="K77" s="36"/>
    </row>
    <row r="78" spans="1:11">
      <c r="A78" s="94" t="s">
        <v>25</v>
      </c>
      <c r="B78" s="41"/>
      <c r="C78" s="95" t="s">
        <v>458</v>
      </c>
      <c r="D78" s="36">
        <v>27943.65</v>
      </c>
      <c r="E78" s="36">
        <v>27943.65</v>
      </c>
      <c r="F78" s="36"/>
      <c r="G78" s="36"/>
      <c r="H78" s="36"/>
      <c r="I78" s="36"/>
      <c r="J78" s="36">
        <f>D78-I78</f>
        <v>27943.65</v>
      </c>
      <c r="K78" s="36">
        <f>E78-I78</f>
        <v>27943.65</v>
      </c>
    </row>
    <row r="79" spans="1:11">
      <c r="A79" s="108" t="s">
        <v>110</v>
      </c>
      <c r="B79" s="41"/>
      <c r="C79" s="95" t="s">
        <v>456</v>
      </c>
      <c r="D79" s="36">
        <v>6147.6</v>
      </c>
      <c r="E79" s="36">
        <v>6147.6</v>
      </c>
      <c r="F79" s="36"/>
      <c r="G79" s="36"/>
      <c r="H79" s="36"/>
      <c r="I79" s="36">
        <v>6147.6</v>
      </c>
      <c r="J79" s="36">
        <f>D79-I79</f>
        <v>0</v>
      </c>
      <c r="K79" s="36">
        <f>E79-I79</f>
        <v>0</v>
      </c>
    </row>
    <row r="80" spans="1:11">
      <c r="A80" s="108" t="s">
        <v>111</v>
      </c>
      <c r="B80" s="41"/>
      <c r="C80" s="95" t="s">
        <v>457</v>
      </c>
      <c r="D80" s="36">
        <v>2291.38</v>
      </c>
      <c r="E80" s="36">
        <v>2291.38</v>
      </c>
      <c r="F80" s="36"/>
      <c r="G80" s="36"/>
      <c r="H80" s="36"/>
      <c r="I80" s="36">
        <v>2291.38</v>
      </c>
      <c r="J80" s="36">
        <f>D80-I80</f>
        <v>0</v>
      </c>
      <c r="K80" s="36">
        <f>E80-I80</f>
        <v>0</v>
      </c>
    </row>
    <row r="81" spans="1:12" s="102" customFormat="1" ht="13.5">
      <c r="A81" s="69" t="s">
        <v>157</v>
      </c>
      <c r="B81" s="99"/>
      <c r="C81" s="42"/>
      <c r="D81" s="101">
        <f t="shared" ref="D81:K81" si="26">SUM(D79:D80)</f>
        <v>8438.98</v>
      </c>
      <c r="E81" s="101">
        <f t="shared" si="26"/>
        <v>8438.98</v>
      </c>
      <c r="F81" s="101">
        <f t="shared" si="26"/>
        <v>0</v>
      </c>
      <c r="G81" s="101">
        <f t="shared" si="26"/>
        <v>0</v>
      </c>
      <c r="H81" s="101">
        <f t="shared" si="26"/>
        <v>0</v>
      </c>
      <c r="I81" s="101">
        <f t="shared" si="26"/>
        <v>8438.98</v>
      </c>
      <c r="J81" s="101">
        <f t="shared" si="26"/>
        <v>0</v>
      </c>
      <c r="K81" s="101">
        <f t="shared" si="26"/>
        <v>0</v>
      </c>
    </row>
    <row r="82" spans="1:12" ht="147" hidden="1" customHeight="1">
      <c r="A82" s="111" t="s">
        <v>419</v>
      </c>
      <c r="B82" s="41"/>
      <c r="C82" s="95"/>
      <c r="D82" s="36">
        <f>D83+D84</f>
        <v>0</v>
      </c>
      <c r="E82" s="36">
        <f>E83+E84</f>
        <v>0</v>
      </c>
      <c r="F82" s="36">
        <f t="shared" ref="F82:K82" si="27">F83+F84</f>
        <v>0</v>
      </c>
      <c r="G82" s="36">
        <f t="shared" si="27"/>
        <v>0</v>
      </c>
      <c r="H82" s="36">
        <f t="shared" si="27"/>
        <v>0</v>
      </c>
      <c r="I82" s="36">
        <v>0</v>
      </c>
      <c r="J82" s="36">
        <f t="shared" si="27"/>
        <v>0</v>
      </c>
      <c r="K82" s="36">
        <f t="shared" si="27"/>
        <v>0</v>
      </c>
    </row>
    <row r="83" spans="1:12" hidden="1">
      <c r="A83" s="94" t="s">
        <v>19</v>
      </c>
      <c r="B83" s="41"/>
      <c r="C83" s="95" t="s">
        <v>281</v>
      </c>
      <c r="D83" s="36">
        <v>0</v>
      </c>
      <c r="E83" s="36">
        <v>0</v>
      </c>
      <c r="F83" s="36"/>
      <c r="G83" s="36"/>
      <c r="H83" s="36"/>
      <c r="I83" s="36">
        <v>0</v>
      </c>
      <c r="J83" s="36">
        <f>D83-I83</f>
        <v>0</v>
      </c>
      <c r="K83" s="36">
        <f>E83-I83</f>
        <v>0</v>
      </c>
    </row>
    <row r="84" spans="1:12" hidden="1">
      <c r="A84" s="94" t="s">
        <v>19</v>
      </c>
      <c r="B84" s="41"/>
      <c r="C84" s="95" t="s">
        <v>282</v>
      </c>
      <c r="D84" s="36">
        <v>0</v>
      </c>
      <c r="E84" s="36">
        <v>0</v>
      </c>
      <c r="F84" s="36"/>
      <c r="G84" s="36"/>
      <c r="H84" s="36"/>
      <c r="I84" s="36">
        <v>0</v>
      </c>
      <c r="J84" s="36">
        <f>D84-I84</f>
        <v>0</v>
      </c>
      <c r="K84" s="36">
        <f>E84-I84</f>
        <v>0</v>
      </c>
    </row>
    <row r="85" spans="1:12">
      <c r="A85" s="94"/>
      <c r="B85" s="41"/>
      <c r="C85" s="95"/>
      <c r="D85" s="36"/>
      <c r="E85" s="36"/>
      <c r="F85" s="36"/>
      <c r="G85" s="36"/>
      <c r="H85" s="36"/>
      <c r="I85" s="36"/>
      <c r="J85" s="36"/>
      <c r="K85" s="36"/>
    </row>
    <row r="86" spans="1:12" s="79" customFormat="1" ht="127.5">
      <c r="A86" s="112" t="s">
        <v>184</v>
      </c>
      <c r="B86" s="78"/>
      <c r="C86" s="106"/>
      <c r="D86" s="45">
        <f>D87+D88</f>
        <v>500</v>
      </c>
      <c r="E86" s="45">
        <f>E87+E88</f>
        <v>500</v>
      </c>
      <c r="F86" s="45">
        <f t="shared" ref="F86:K86" si="28">F87+F88</f>
        <v>0</v>
      </c>
      <c r="G86" s="45">
        <f t="shared" si="28"/>
        <v>0</v>
      </c>
      <c r="H86" s="45">
        <f t="shared" si="28"/>
        <v>0</v>
      </c>
      <c r="I86" s="45">
        <f t="shared" si="28"/>
        <v>0</v>
      </c>
      <c r="J86" s="45">
        <f t="shared" si="28"/>
        <v>500</v>
      </c>
      <c r="K86" s="45">
        <f t="shared" si="28"/>
        <v>500</v>
      </c>
    </row>
    <row r="87" spans="1:12">
      <c r="A87" s="94" t="s">
        <v>19</v>
      </c>
      <c r="B87" s="41"/>
      <c r="C87" s="95" t="s">
        <v>251</v>
      </c>
      <c r="D87" s="36">
        <v>500</v>
      </c>
      <c r="E87" s="36">
        <v>500</v>
      </c>
      <c r="F87" s="36"/>
      <c r="G87" s="36"/>
      <c r="H87" s="36"/>
      <c r="I87" s="36">
        <v>0</v>
      </c>
      <c r="J87" s="36">
        <f>D87-I87</f>
        <v>500</v>
      </c>
      <c r="K87" s="36">
        <f>E87-I87</f>
        <v>500</v>
      </c>
    </row>
    <row r="88" spans="1:12" hidden="1">
      <c r="A88" s="94" t="s">
        <v>19</v>
      </c>
      <c r="B88" s="41"/>
      <c r="C88" s="95" t="s">
        <v>252</v>
      </c>
      <c r="D88" s="36">
        <f>1000-1000</f>
        <v>0</v>
      </c>
      <c r="E88" s="36">
        <f>1000-1000</f>
        <v>0</v>
      </c>
      <c r="F88" s="36"/>
      <c r="G88" s="36"/>
      <c r="H88" s="36"/>
      <c r="I88" s="36">
        <v>0</v>
      </c>
      <c r="J88" s="36">
        <f>D88-I88</f>
        <v>0</v>
      </c>
      <c r="K88" s="36">
        <f>E88-I88</f>
        <v>0</v>
      </c>
    </row>
    <row r="89" spans="1:12">
      <c r="A89" s="94"/>
      <c r="B89" s="41"/>
      <c r="C89" s="95"/>
      <c r="D89" s="36"/>
      <c r="E89" s="36"/>
      <c r="F89" s="36"/>
      <c r="G89" s="36"/>
      <c r="H89" s="36"/>
      <c r="I89" s="36"/>
      <c r="J89" s="36"/>
      <c r="K89" s="36"/>
    </row>
    <row r="90" spans="1:12" ht="38.25">
      <c r="A90" s="116" t="s">
        <v>437</v>
      </c>
      <c r="B90" s="41"/>
      <c r="C90" s="162" t="s">
        <v>436</v>
      </c>
      <c r="D90" s="45">
        <f>D91</f>
        <v>5402</v>
      </c>
      <c r="E90" s="45">
        <f>E91</f>
        <v>5402</v>
      </c>
      <c r="F90" s="45">
        <f t="shared" ref="F90:I90" si="29">F91</f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ref="J90" si="30">J91</f>
        <v>5402</v>
      </c>
      <c r="K90" s="45">
        <f t="shared" ref="K90" si="31">K91</f>
        <v>5402</v>
      </c>
    </row>
    <row r="91" spans="1:12" s="79" customFormat="1" ht="25.5">
      <c r="A91" s="94" t="s">
        <v>22</v>
      </c>
      <c r="B91" s="78"/>
      <c r="C91" s="106" t="s">
        <v>455</v>
      </c>
      <c r="D91" s="45">
        <v>5402</v>
      </c>
      <c r="E91" s="45">
        <v>5402</v>
      </c>
      <c r="F91" s="45"/>
      <c r="G91" s="45"/>
      <c r="H91" s="45"/>
      <c r="I91" s="45">
        <v>0</v>
      </c>
      <c r="J91" s="45">
        <f>D91-I91</f>
        <v>5402</v>
      </c>
      <c r="K91" s="45">
        <f>E91-I91</f>
        <v>5402</v>
      </c>
    </row>
    <row r="92" spans="1:12" s="79" customFormat="1">
      <c r="A92" s="94"/>
      <c r="B92" s="78"/>
      <c r="C92" s="106"/>
      <c r="D92" s="45"/>
      <c r="E92" s="45"/>
      <c r="F92" s="45"/>
      <c r="G92" s="45"/>
      <c r="H92" s="45"/>
      <c r="I92" s="45"/>
      <c r="J92" s="45"/>
      <c r="K92" s="45"/>
    </row>
    <row r="93" spans="1:12">
      <c r="A93" s="94" t="s">
        <v>20</v>
      </c>
      <c r="B93" s="41"/>
      <c r="C93" s="106" t="s">
        <v>454</v>
      </c>
      <c r="D93" s="36">
        <v>66836</v>
      </c>
      <c r="E93" s="36">
        <v>66836</v>
      </c>
      <c r="F93" s="36"/>
      <c r="G93" s="36"/>
      <c r="H93" s="36"/>
      <c r="I93" s="36">
        <v>66836</v>
      </c>
      <c r="J93" s="36">
        <f>D93-I93</f>
        <v>0</v>
      </c>
      <c r="K93" s="36">
        <f>E93-I93</f>
        <v>0</v>
      </c>
    </row>
    <row r="94" spans="1:12" s="79" customFormat="1">
      <c r="A94" s="104"/>
      <c r="B94" s="78"/>
      <c r="C94" s="106"/>
      <c r="D94" s="45"/>
      <c r="E94" s="45"/>
      <c r="F94" s="45"/>
      <c r="G94" s="45"/>
      <c r="H94" s="45"/>
      <c r="I94" s="45"/>
      <c r="J94" s="45"/>
      <c r="K94" s="45"/>
    </row>
    <row r="95" spans="1:12" s="79" customFormat="1">
      <c r="A95" s="113" t="s">
        <v>171</v>
      </c>
      <c r="B95" s="78"/>
      <c r="C95" s="44" t="s">
        <v>172</v>
      </c>
      <c r="D95" s="45">
        <f>D105</f>
        <v>5000</v>
      </c>
      <c r="E95" s="45">
        <f>E105</f>
        <v>0</v>
      </c>
      <c r="F95" s="45">
        <f t="shared" ref="F95:K95" si="32">F105</f>
        <v>0</v>
      </c>
      <c r="G95" s="45">
        <f t="shared" si="32"/>
        <v>0</v>
      </c>
      <c r="H95" s="45">
        <f t="shared" si="32"/>
        <v>0</v>
      </c>
      <c r="I95" s="45">
        <f t="shared" si="32"/>
        <v>0</v>
      </c>
      <c r="J95" s="45">
        <f t="shared" si="32"/>
        <v>5000</v>
      </c>
      <c r="K95" s="45">
        <f t="shared" si="32"/>
        <v>0</v>
      </c>
      <c r="L95" s="97"/>
    </row>
    <row r="96" spans="1:12" s="79" customFormat="1" hidden="1">
      <c r="A96" s="94" t="s">
        <v>19</v>
      </c>
      <c r="B96" s="78"/>
      <c r="C96" s="95" t="s">
        <v>118</v>
      </c>
      <c r="D96" s="36"/>
      <c r="E96" s="36"/>
      <c r="F96" s="45"/>
      <c r="G96" s="45"/>
      <c r="H96" s="45"/>
      <c r="I96" s="36"/>
      <c r="J96" s="36">
        <f>D96-I96</f>
        <v>0</v>
      </c>
      <c r="K96" s="36">
        <f>E96-I96</f>
        <v>0</v>
      </c>
      <c r="L96" s="97"/>
    </row>
    <row r="97" spans="1:12" s="79" customFormat="1" hidden="1">
      <c r="A97" s="94" t="s">
        <v>19</v>
      </c>
      <c r="B97" s="78"/>
      <c r="C97" s="95" t="s">
        <v>119</v>
      </c>
      <c r="D97" s="36"/>
      <c r="E97" s="36"/>
      <c r="F97" s="45"/>
      <c r="G97" s="45"/>
      <c r="H97" s="45"/>
      <c r="I97" s="36"/>
      <c r="J97" s="36">
        <f>D97-I97</f>
        <v>0</v>
      </c>
      <c r="K97" s="36">
        <f>E97-I97</f>
        <v>0</v>
      </c>
      <c r="L97" s="97"/>
    </row>
    <row r="98" spans="1:12" s="79" customFormat="1" hidden="1">
      <c r="A98" s="94"/>
      <c r="B98" s="78"/>
      <c r="C98" s="106"/>
      <c r="D98" s="45">
        <f>SUM(D96:D97)</f>
        <v>0</v>
      </c>
      <c r="E98" s="45">
        <f>SUM(E96:E97)</f>
        <v>0</v>
      </c>
      <c r="F98" s="45">
        <f t="shared" ref="F98:K98" si="33">SUM(F96:F97)</f>
        <v>0</v>
      </c>
      <c r="G98" s="45">
        <f t="shared" si="33"/>
        <v>0</v>
      </c>
      <c r="H98" s="45">
        <f t="shared" si="33"/>
        <v>0</v>
      </c>
      <c r="I98" s="45">
        <f t="shared" si="33"/>
        <v>0</v>
      </c>
      <c r="J98" s="45">
        <f t="shared" si="33"/>
        <v>0</v>
      </c>
      <c r="K98" s="45">
        <f t="shared" si="33"/>
        <v>0</v>
      </c>
      <c r="L98" s="97"/>
    </row>
    <row r="99" spans="1:12" s="79" customFormat="1" hidden="1">
      <c r="A99" s="114"/>
      <c r="B99" s="78"/>
      <c r="C99" s="106"/>
      <c r="D99" s="45"/>
      <c r="E99" s="45"/>
      <c r="F99" s="45"/>
      <c r="G99" s="45"/>
      <c r="H99" s="45"/>
      <c r="I99" s="45"/>
      <c r="J99" s="36"/>
      <c r="K99" s="36"/>
      <c r="L99" s="97"/>
    </row>
    <row r="100" spans="1:12" hidden="1">
      <c r="A100" s="94" t="s">
        <v>24</v>
      </c>
      <c r="B100" s="41"/>
      <c r="C100" s="95" t="s">
        <v>104</v>
      </c>
      <c r="D100" s="36"/>
      <c r="E100" s="36"/>
      <c r="F100" s="36"/>
      <c r="G100" s="36"/>
      <c r="H100" s="36"/>
      <c r="I100" s="36"/>
      <c r="J100" s="36">
        <f>D100-I100</f>
        <v>0</v>
      </c>
      <c r="K100" s="36">
        <f>E100-I100</f>
        <v>0</v>
      </c>
    </row>
    <row r="101" spans="1:12" hidden="1">
      <c r="A101" s="108" t="s">
        <v>110</v>
      </c>
      <c r="B101" s="41"/>
      <c r="C101" s="95" t="s">
        <v>105</v>
      </c>
      <c r="D101" s="36"/>
      <c r="E101" s="36"/>
      <c r="F101" s="36"/>
      <c r="G101" s="36"/>
      <c r="H101" s="36"/>
      <c r="I101" s="36"/>
      <c r="J101" s="36">
        <f>D101-I101</f>
        <v>0</v>
      </c>
      <c r="K101" s="36">
        <f>E101-I101</f>
        <v>0</v>
      </c>
    </row>
    <row r="102" spans="1:12" ht="14.25" hidden="1" customHeight="1">
      <c r="A102" s="108" t="s">
        <v>111</v>
      </c>
      <c r="B102" s="41"/>
      <c r="C102" s="95" t="s">
        <v>106</v>
      </c>
      <c r="D102" s="36"/>
      <c r="E102" s="36"/>
      <c r="F102" s="36"/>
      <c r="G102" s="36"/>
      <c r="H102" s="36"/>
      <c r="I102" s="36"/>
      <c r="J102" s="36">
        <f>D102-I102</f>
        <v>0</v>
      </c>
      <c r="K102" s="36">
        <f>E102-I102</f>
        <v>0</v>
      </c>
    </row>
    <row r="103" spans="1:12" s="102" customFormat="1" ht="13.5" hidden="1">
      <c r="A103" s="103" t="s">
        <v>88</v>
      </c>
      <c r="B103" s="99"/>
      <c r="C103" s="42"/>
      <c r="D103" s="101">
        <f t="shared" ref="D103:K103" si="34">SUM(D101:D102)</f>
        <v>0</v>
      </c>
      <c r="E103" s="101">
        <f>SUM(E101:E102)</f>
        <v>0</v>
      </c>
      <c r="F103" s="101">
        <f t="shared" si="34"/>
        <v>0</v>
      </c>
      <c r="G103" s="101">
        <f t="shared" si="34"/>
        <v>0</v>
      </c>
      <c r="H103" s="101">
        <f t="shared" si="34"/>
        <v>0</v>
      </c>
      <c r="I103" s="101">
        <f t="shared" si="34"/>
        <v>0</v>
      </c>
      <c r="J103" s="101">
        <f t="shared" si="34"/>
        <v>0</v>
      </c>
      <c r="K103" s="101">
        <f t="shared" si="34"/>
        <v>0</v>
      </c>
      <c r="L103" s="115"/>
    </row>
    <row r="104" spans="1:12" s="79" customFormat="1" hidden="1">
      <c r="A104" s="104" t="s">
        <v>127</v>
      </c>
      <c r="B104" s="78"/>
      <c r="C104" s="106"/>
      <c r="D104" s="45">
        <f t="shared" ref="D104:K104" si="35">D100+D103</f>
        <v>0</v>
      </c>
      <c r="E104" s="45">
        <f>E100+E103</f>
        <v>0</v>
      </c>
      <c r="F104" s="45">
        <f t="shared" si="35"/>
        <v>0</v>
      </c>
      <c r="G104" s="45">
        <f t="shared" si="35"/>
        <v>0</v>
      </c>
      <c r="H104" s="45">
        <f t="shared" si="35"/>
        <v>0</v>
      </c>
      <c r="I104" s="45">
        <f t="shared" si="35"/>
        <v>0</v>
      </c>
      <c r="J104" s="45">
        <f t="shared" si="35"/>
        <v>0</v>
      </c>
      <c r="K104" s="45">
        <f t="shared" si="35"/>
        <v>0</v>
      </c>
      <c r="L104" s="97"/>
    </row>
    <row r="105" spans="1:12" s="79" customFormat="1">
      <c r="A105" s="94" t="s">
        <v>20</v>
      </c>
      <c r="B105" s="78"/>
      <c r="C105" s="106" t="s">
        <v>205</v>
      </c>
      <c r="D105" s="45">
        <v>5000</v>
      </c>
      <c r="E105" s="45">
        <f>5000-5000</f>
        <v>0</v>
      </c>
      <c r="F105" s="45"/>
      <c r="G105" s="45"/>
      <c r="H105" s="45"/>
      <c r="I105" s="45">
        <v>0</v>
      </c>
      <c r="J105" s="45">
        <f>D105-I105</f>
        <v>5000</v>
      </c>
      <c r="K105" s="45">
        <f>E105-I105</f>
        <v>0</v>
      </c>
    </row>
    <row r="106" spans="1:12" s="79" customFormat="1">
      <c r="A106" s="116"/>
      <c r="B106" s="78"/>
      <c r="C106" s="106"/>
      <c r="D106" s="45"/>
      <c r="E106" s="45"/>
      <c r="F106" s="45"/>
      <c r="G106" s="45"/>
      <c r="H106" s="45"/>
      <c r="I106" s="45"/>
      <c r="J106" s="45"/>
      <c r="K106" s="45"/>
    </row>
    <row r="107" spans="1:12" s="79" customFormat="1">
      <c r="A107" s="65" t="s">
        <v>142</v>
      </c>
      <c r="B107" s="117"/>
      <c r="C107" s="44" t="s">
        <v>173</v>
      </c>
      <c r="D107" s="45">
        <f>D109</f>
        <v>2206</v>
      </c>
      <c r="E107" s="45">
        <f>E109</f>
        <v>1654</v>
      </c>
      <c r="F107" s="45">
        <f t="shared" ref="F107:K107" si="36">F109</f>
        <v>0</v>
      </c>
      <c r="G107" s="45">
        <f t="shared" si="36"/>
        <v>0</v>
      </c>
      <c r="H107" s="45">
        <f t="shared" si="36"/>
        <v>0</v>
      </c>
      <c r="I107" s="45">
        <f t="shared" si="36"/>
        <v>0</v>
      </c>
      <c r="J107" s="45">
        <f t="shared" si="36"/>
        <v>2206</v>
      </c>
      <c r="K107" s="45">
        <f t="shared" si="36"/>
        <v>1654</v>
      </c>
    </row>
    <row r="108" spans="1:12" s="79" customFormat="1" hidden="1">
      <c r="A108" s="94" t="s">
        <v>21</v>
      </c>
      <c r="B108" s="117"/>
      <c r="C108" s="95" t="s">
        <v>131</v>
      </c>
      <c r="D108" s="36">
        <v>0</v>
      </c>
      <c r="E108" s="36">
        <v>0</v>
      </c>
      <c r="F108" s="36"/>
      <c r="G108" s="36"/>
      <c r="H108" s="36"/>
      <c r="I108" s="36">
        <v>0</v>
      </c>
      <c r="J108" s="36">
        <f>D108-I108</f>
        <v>0</v>
      </c>
      <c r="K108" s="36">
        <f>E108-I108</f>
        <v>0</v>
      </c>
    </row>
    <row r="109" spans="1:12" s="79" customFormat="1" ht="25.5">
      <c r="A109" s="98" t="s">
        <v>30</v>
      </c>
      <c r="B109" s="117"/>
      <c r="C109" s="95" t="s">
        <v>206</v>
      </c>
      <c r="D109" s="36">
        <v>2206</v>
      </c>
      <c r="E109" s="36">
        <v>1654</v>
      </c>
      <c r="F109" s="36"/>
      <c r="G109" s="36"/>
      <c r="H109" s="36"/>
      <c r="I109" s="36">
        <v>0</v>
      </c>
      <c r="J109" s="36">
        <f>D109-I109</f>
        <v>2206</v>
      </c>
      <c r="K109" s="36">
        <f>E109-I109</f>
        <v>1654</v>
      </c>
    </row>
    <row r="110" spans="1:12" s="79" customFormat="1">
      <c r="A110" s="107"/>
      <c r="B110" s="117"/>
      <c r="C110" s="106"/>
      <c r="D110" s="45"/>
      <c r="E110" s="45"/>
      <c r="F110" s="45"/>
      <c r="G110" s="45"/>
      <c r="H110" s="45"/>
      <c r="I110" s="45"/>
      <c r="J110" s="45"/>
      <c r="K110" s="45"/>
    </row>
    <row r="111" spans="1:12" s="79" customFormat="1">
      <c r="A111" s="65" t="s">
        <v>143</v>
      </c>
      <c r="B111" s="117"/>
      <c r="C111" s="44" t="s">
        <v>174</v>
      </c>
      <c r="D111" s="45">
        <f t="shared" ref="D111:I111" si="37">D112</f>
        <v>76446</v>
      </c>
      <c r="E111" s="45">
        <f t="shared" si="37"/>
        <v>62625</v>
      </c>
      <c r="F111" s="45">
        <f t="shared" si="37"/>
        <v>0</v>
      </c>
      <c r="G111" s="45">
        <f t="shared" si="37"/>
        <v>0</v>
      </c>
      <c r="H111" s="45">
        <f t="shared" si="37"/>
        <v>0</v>
      </c>
      <c r="I111" s="45">
        <f t="shared" si="37"/>
        <v>36560.089999999997</v>
      </c>
      <c r="J111" s="45">
        <f>J112</f>
        <v>25035.91</v>
      </c>
      <c r="K111" s="45">
        <f>K112</f>
        <v>11214.91</v>
      </c>
    </row>
    <row r="112" spans="1:12" s="79" customFormat="1">
      <c r="A112" s="65" t="s">
        <v>144</v>
      </c>
      <c r="B112" s="117"/>
      <c r="C112" s="44" t="s">
        <v>175</v>
      </c>
      <c r="D112" s="45">
        <f t="shared" ref="D112:I112" si="38">D113+D122+D124+D125+D131+D130</f>
        <v>76446</v>
      </c>
      <c r="E112" s="45">
        <f t="shared" si="38"/>
        <v>62625</v>
      </c>
      <c r="F112" s="45">
        <f t="shared" si="38"/>
        <v>0</v>
      </c>
      <c r="G112" s="45">
        <f t="shared" si="38"/>
        <v>0</v>
      </c>
      <c r="H112" s="45">
        <f t="shared" si="38"/>
        <v>0</v>
      </c>
      <c r="I112" s="45">
        <f t="shared" si="38"/>
        <v>36560.089999999997</v>
      </c>
      <c r="J112" s="45">
        <f>J113+J122+J124+J125+J131</f>
        <v>25035.91</v>
      </c>
      <c r="K112" s="45">
        <f>K113+K122+K124+K125+K131</f>
        <v>11214.91</v>
      </c>
    </row>
    <row r="113" spans="1:11" s="79" customFormat="1" ht="25.5">
      <c r="A113" s="69" t="s">
        <v>156</v>
      </c>
      <c r="B113" s="117"/>
      <c r="C113" s="106"/>
      <c r="D113" s="45">
        <f>D114+D116+D120</f>
        <v>57595</v>
      </c>
      <c r="E113" s="45">
        <f>E114+E116+E120</f>
        <v>43774</v>
      </c>
      <c r="F113" s="45">
        <f t="shared" ref="F113:K113" si="39">F114+F116+F120</f>
        <v>0</v>
      </c>
      <c r="G113" s="45">
        <f t="shared" si="39"/>
        <v>0</v>
      </c>
      <c r="H113" s="45">
        <f t="shared" si="39"/>
        <v>0</v>
      </c>
      <c r="I113" s="45">
        <f t="shared" si="39"/>
        <v>36560.089999999997</v>
      </c>
      <c r="J113" s="45">
        <f t="shared" si="39"/>
        <v>21034.91</v>
      </c>
      <c r="K113" s="45">
        <f t="shared" si="39"/>
        <v>7213.91</v>
      </c>
    </row>
    <row r="114" spans="1:11">
      <c r="A114" s="94" t="s">
        <v>14</v>
      </c>
      <c r="B114" s="41"/>
      <c r="C114" s="95" t="s">
        <v>207</v>
      </c>
      <c r="D114" s="36">
        <v>44829</v>
      </c>
      <c r="E114" s="36">
        <v>33621</v>
      </c>
      <c r="F114" s="36"/>
      <c r="G114" s="36"/>
      <c r="H114" s="36"/>
      <c r="I114" s="36">
        <v>28108.09</v>
      </c>
      <c r="J114" s="36">
        <f>D114-I114</f>
        <v>16720.91</v>
      </c>
      <c r="K114" s="36">
        <f>E114-I114</f>
        <v>5512.91</v>
      </c>
    </row>
    <row r="115" spans="1:11" ht="38.25" hidden="1">
      <c r="A115" s="94" t="s">
        <v>26</v>
      </c>
      <c r="B115" s="41"/>
      <c r="C115" s="95" t="s">
        <v>33</v>
      </c>
      <c r="D115" s="36"/>
      <c r="E115" s="36"/>
      <c r="F115" s="36"/>
      <c r="G115" s="36"/>
      <c r="H115" s="36"/>
      <c r="I115" s="36"/>
      <c r="J115" s="36">
        <f>D115-I115</f>
        <v>0</v>
      </c>
      <c r="K115" s="36">
        <f>E115-I115</f>
        <v>0</v>
      </c>
    </row>
    <row r="116" spans="1:11" ht="38.25">
      <c r="A116" s="94" t="s">
        <v>27</v>
      </c>
      <c r="B116" s="41"/>
      <c r="C116" s="95" t="s">
        <v>208</v>
      </c>
      <c r="D116" s="36">
        <f>2500-500-2000</f>
        <v>0</v>
      </c>
      <c r="E116" s="36">
        <v>0</v>
      </c>
      <c r="F116" s="36"/>
      <c r="G116" s="36"/>
      <c r="H116" s="36"/>
      <c r="I116" s="36">
        <v>0</v>
      </c>
      <c r="J116" s="36">
        <f>D116-I116</f>
        <v>0</v>
      </c>
      <c r="K116" s="36">
        <f>E116-I116</f>
        <v>0</v>
      </c>
    </row>
    <row r="117" spans="1:11" s="102" customFormat="1" ht="13.5" hidden="1">
      <c r="A117" s="103" t="s">
        <v>90</v>
      </c>
      <c r="B117" s="99"/>
      <c r="C117" s="42"/>
      <c r="D117" s="101">
        <f t="shared" ref="D117:K117" si="40">SUM(D115:D116)</f>
        <v>0</v>
      </c>
      <c r="E117" s="101">
        <f>SUM(E115:E116)</f>
        <v>0</v>
      </c>
      <c r="F117" s="101">
        <f t="shared" si="40"/>
        <v>0</v>
      </c>
      <c r="G117" s="101">
        <f t="shared" si="40"/>
        <v>0</v>
      </c>
      <c r="H117" s="101">
        <f t="shared" si="40"/>
        <v>0</v>
      </c>
      <c r="I117" s="101">
        <f t="shared" si="40"/>
        <v>0</v>
      </c>
      <c r="J117" s="101">
        <f t="shared" si="40"/>
        <v>0</v>
      </c>
      <c r="K117" s="101">
        <f t="shared" si="40"/>
        <v>0</v>
      </c>
    </row>
    <row r="118" spans="1:11">
      <c r="A118" s="108" t="s">
        <v>110</v>
      </c>
      <c r="B118" s="41"/>
      <c r="C118" s="95" t="s">
        <v>209</v>
      </c>
      <c r="D118" s="36">
        <f>9860-772</f>
        <v>9088</v>
      </c>
      <c r="E118" s="36">
        <v>7395</v>
      </c>
      <c r="F118" s="36"/>
      <c r="G118" s="36"/>
      <c r="H118" s="36"/>
      <c r="I118" s="36">
        <f>1448.38+1448.38+724.18+796.37+724.19+1139.53</f>
        <v>6281.03</v>
      </c>
      <c r="J118" s="36">
        <f>D118-I118</f>
        <v>2806.9700000000003</v>
      </c>
      <c r="K118" s="36">
        <f>E118-I118</f>
        <v>1113.9700000000003</v>
      </c>
    </row>
    <row r="119" spans="1:11">
      <c r="A119" s="108" t="s">
        <v>111</v>
      </c>
      <c r="B119" s="41"/>
      <c r="C119" s="95" t="s">
        <v>210</v>
      </c>
      <c r="D119" s="36">
        <v>3678</v>
      </c>
      <c r="E119" s="36">
        <v>2758</v>
      </c>
      <c r="F119" s="36"/>
      <c r="G119" s="36"/>
      <c r="H119" s="36"/>
      <c r="I119" s="36">
        <f>13.16+335.76+190.92+269.92+234.48+167.88+95.46+6.58+184.62+104.98+7.24+167.88+95.46+6.58+15.53+264.16+10.36</f>
        <v>2170.9699999999998</v>
      </c>
      <c r="J119" s="36">
        <f>D119-I119</f>
        <v>1507.0300000000002</v>
      </c>
      <c r="K119" s="36">
        <f>E119-I119</f>
        <v>587.0300000000002</v>
      </c>
    </row>
    <row r="120" spans="1:11" s="102" customFormat="1" ht="13.5">
      <c r="A120" s="69" t="s">
        <v>157</v>
      </c>
      <c r="B120" s="99"/>
      <c r="C120" s="42"/>
      <c r="D120" s="101">
        <f t="shared" ref="D120:K120" si="41">SUM(D118:D119)</f>
        <v>12766</v>
      </c>
      <c r="E120" s="101">
        <f>SUM(E118:E119)</f>
        <v>10153</v>
      </c>
      <c r="F120" s="101">
        <f t="shared" si="41"/>
        <v>0</v>
      </c>
      <c r="G120" s="101">
        <f t="shared" si="41"/>
        <v>0</v>
      </c>
      <c r="H120" s="101">
        <f t="shared" si="41"/>
        <v>0</v>
      </c>
      <c r="I120" s="101">
        <f t="shared" si="41"/>
        <v>8452</v>
      </c>
      <c r="J120" s="101">
        <f t="shared" si="41"/>
        <v>4314</v>
      </c>
      <c r="K120" s="101">
        <f t="shared" si="41"/>
        <v>1701.0000000000005</v>
      </c>
    </row>
    <row r="121" spans="1:11" s="102" customFormat="1" ht="13.5">
      <c r="A121" s="118"/>
      <c r="B121" s="119"/>
      <c r="C121" s="120"/>
      <c r="D121" s="121"/>
      <c r="E121" s="121"/>
      <c r="F121" s="101"/>
      <c r="G121" s="101"/>
      <c r="H121" s="101"/>
      <c r="I121" s="101"/>
      <c r="J121" s="101"/>
      <c r="K121" s="101"/>
    </row>
    <row r="122" spans="1:11">
      <c r="A122" s="94" t="s">
        <v>19</v>
      </c>
      <c r="B122" s="41"/>
      <c r="C122" s="95" t="s">
        <v>256</v>
      </c>
      <c r="D122" s="36">
        <f>1650-420-1230</f>
        <v>0</v>
      </c>
      <c r="E122" s="36">
        <f>1230-1230</f>
        <v>0</v>
      </c>
      <c r="F122" s="36"/>
      <c r="G122" s="36"/>
      <c r="H122" s="36"/>
      <c r="I122" s="36">
        <v>0</v>
      </c>
      <c r="J122" s="36">
        <f>D122-I122</f>
        <v>0</v>
      </c>
      <c r="K122" s="36">
        <f>E122-I122</f>
        <v>0</v>
      </c>
    </row>
    <row r="123" spans="1:11" s="102" customFormat="1" ht="13.5">
      <c r="A123" s="103"/>
      <c r="B123" s="99"/>
      <c r="C123" s="42"/>
      <c r="D123" s="101"/>
      <c r="E123" s="101"/>
      <c r="F123" s="101"/>
      <c r="G123" s="101"/>
      <c r="H123" s="101"/>
      <c r="I123" s="101"/>
      <c r="J123" s="101"/>
      <c r="K123" s="101"/>
    </row>
    <row r="124" spans="1:11">
      <c r="A124" s="94" t="s">
        <v>16</v>
      </c>
      <c r="B124" s="41"/>
      <c r="C124" s="95" t="s">
        <v>211</v>
      </c>
      <c r="D124" s="36">
        <f>3830-958-2872</f>
        <v>0</v>
      </c>
      <c r="E124" s="36">
        <v>0</v>
      </c>
      <c r="F124" s="36"/>
      <c r="G124" s="36"/>
      <c r="H124" s="36"/>
      <c r="I124" s="36">
        <v>0</v>
      </c>
      <c r="J124" s="36">
        <f t="shared" ref="J124:J131" si="42">D124-I124</f>
        <v>0</v>
      </c>
      <c r="K124" s="36">
        <f t="shared" ref="K124:K131" si="43">E124-I124</f>
        <v>0</v>
      </c>
    </row>
    <row r="125" spans="1:11" s="40" customFormat="1" ht="13.5">
      <c r="A125" s="122" t="s">
        <v>148</v>
      </c>
      <c r="B125" s="39"/>
      <c r="C125" s="27"/>
      <c r="D125" s="28">
        <f>D126+D128</f>
        <v>0</v>
      </c>
      <c r="E125" s="28">
        <f>E126+E128</f>
        <v>0</v>
      </c>
      <c r="F125" s="28">
        <f t="shared" ref="F125:K125" si="44">F126+F128</f>
        <v>0</v>
      </c>
      <c r="G125" s="28">
        <f t="shared" si="44"/>
        <v>0</v>
      </c>
      <c r="H125" s="28">
        <f t="shared" si="44"/>
        <v>0</v>
      </c>
      <c r="I125" s="28">
        <f t="shared" si="44"/>
        <v>0</v>
      </c>
      <c r="J125" s="28">
        <f t="shared" si="44"/>
        <v>0</v>
      </c>
      <c r="K125" s="28">
        <f t="shared" si="44"/>
        <v>0</v>
      </c>
    </row>
    <row r="126" spans="1:11">
      <c r="A126" s="94" t="s">
        <v>18</v>
      </c>
      <c r="B126" s="41"/>
      <c r="C126" s="95" t="s">
        <v>212</v>
      </c>
      <c r="D126" s="36">
        <f>1600-400-1200</f>
        <v>0</v>
      </c>
      <c r="E126" s="36">
        <v>0</v>
      </c>
      <c r="F126" s="36"/>
      <c r="G126" s="36"/>
      <c r="H126" s="36"/>
      <c r="I126" s="36">
        <v>0</v>
      </c>
      <c r="J126" s="36">
        <f t="shared" si="42"/>
        <v>0</v>
      </c>
      <c r="K126" s="36">
        <f t="shared" si="43"/>
        <v>0</v>
      </c>
    </row>
    <row r="127" spans="1:11" hidden="1">
      <c r="A127" s="94" t="s">
        <v>19</v>
      </c>
      <c r="B127" s="41"/>
      <c r="C127" s="95" t="s">
        <v>132</v>
      </c>
      <c r="D127" s="36"/>
      <c r="E127" s="36"/>
      <c r="F127" s="36"/>
      <c r="G127" s="36"/>
      <c r="H127" s="36"/>
      <c r="I127" s="36">
        <v>0</v>
      </c>
      <c r="J127" s="36">
        <f t="shared" si="42"/>
        <v>0</v>
      </c>
      <c r="K127" s="36">
        <f t="shared" si="43"/>
        <v>0</v>
      </c>
    </row>
    <row r="128" spans="1:11">
      <c r="A128" s="94" t="s">
        <v>19</v>
      </c>
      <c r="B128" s="41"/>
      <c r="C128" s="95" t="s">
        <v>257</v>
      </c>
      <c r="D128" s="36">
        <f>2844-1270-1574</f>
        <v>0</v>
      </c>
      <c r="E128" s="36">
        <v>0</v>
      </c>
      <c r="F128" s="36"/>
      <c r="G128" s="36"/>
      <c r="H128" s="36"/>
      <c r="I128" s="36">
        <v>0</v>
      </c>
      <c r="J128" s="36">
        <f t="shared" si="42"/>
        <v>0</v>
      </c>
      <c r="K128" s="36">
        <f t="shared" si="43"/>
        <v>0</v>
      </c>
    </row>
    <row r="129" spans="1:11" hidden="1">
      <c r="A129" s="94" t="s">
        <v>21</v>
      </c>
      <c r="B129" s="41"/>
      <c r="C129" s="95" t="s">
        <v>133</v>
      </c>
      <c r="D129" s="36">
        <v>0</v>
      </c>
      <c r="E129" s="36">
        <v>0</v>
      </c>
      <c r="F129" s="36"/>
      <c r="G129" s="36"/>
      <c r="H129" s="36"/>
      <c r="I129" s="36">
        <v>0</v>
      </c>
      <c r="J129" s="36">
        <f t="shared" si="42"/>
        <v>0</v>
      </c>
      <c r="K129" s="36">
        <f t="shared" si="43"/>
        <v>0</v>
      </c>
    </row>
    <row r="130" spans="1:11">
      <c r="A130" s="123" t="s">
        <v>21</v>
      </c>
      <c r="B130" s="41"/>
      <c r="C130" s="95" t="s">
        <v>288</v>
      </c>
      <c r="D130" s="36">
        <v>14850</v>
      </c>
      <c r="E130" s="36">
        <v>14850</v>
      </c>
      <c r="F130" s="36"/>
      <c r="G130" s="36"/>
      <c r="H130" s="36"/>
      <c r="I130" s="36">
        <v>0</v>
      </c>
      <c r="J130" s="36">
        <f>D130-I130</f>
        <v>14850</v>
      </c>
      <c r="K130" s="36">
        <f>E130-I130</f>
        <v>14850</v>
      </c>
    </row>
    <row r="131" spans="1:11" ht="25.5">
      <c r="A131" s="98" t="s">
        <v>30</v>
      </c>
      <c r="B131" s="41"/>
      <c r="C131" s="95" t="s">
        <v>213</v>
      </c>
      <c r="D131" s="36">
        <f>12709-2734-5974</f>
        <v>4001</v>
      </c>
      <c r="E131" s="36">
        <f>9975-5974</f>
        <v>4001</v>
      </c>
      <c r="F131" s="36"/>
      <c r="G131" s="36"/>
      <c r="H131" s="36"/>
      <c r="I131" s="36">
        <v>0</v>
      </c>
      <c r="J131" s="36">
        <f t="shared" si="42"/>
        <v>4001</v>
      </c>
      <c r="K131" s="36">
        <f t="shared" si="43"/>
        <v>4001</v>
      </c>
    </row>
    <row r="132" spans="1:11" s="79" customFormat="1">
      <c r="A132" s="114"/>
      <c r="B132" s="78"/>
      <c r="C132" s="106"/>
      <c r="D132" s="45"/>
      <c r="E132" s="45"/>
      <c r="F132" s="45"/>
      <c r="G132" s="45"/>
      <c r="H132" s="45"/>
      <c r="I132" s="45"/>
      <c r="J132" s="45"/>
      <c r="K132" s="45"/>
    </row>
    <row r="133" spans="1:11" s="79" customFormat="1" ht="25.5">
      <c r="A133" s="65" t="s">
        <v>146</v>
      </c>
      <c r="B133" s="78"/>
      <c r="C133" s="44" t="s">
        <v>176</v>
      </c>
      <c r="D133" s="45">
        <f>D134</f>
        <v>2256</v>
      </c>
      <c r="E133" s="45">
        <f>E134</f>
        <v>2256</v>
      </c>
      <c r="F133" s="45">
        <f t="shared" ref="F133:K133" si="45">F134</f>
        <v>12705</v>
      </c>
      <c r="G133" s="45">
        <f t="shared" si="45"/>
        <v>0</v>
      </c>
      <c r="H133" s="45">
        <f t="shared" si="45"/>
        <v>0</v>
      </c>
      <c r="I133" s="45">
        <f t="shared" si="45"/>
        <v>0</v>
      </c>
      <c r="J133" s="45">
        <f t="shared" si="45"/>
        <v>2256</v>
      </c>
      <c r="K133" s="45">
        <f t="shared" si="45"/>
        <v>2256</v>
      </c>
    </row>
    <row r="134" spans="1:11" s="79" customFormat="1">
      <c r="A134" s="65" t="s">
        <v>147</v>
      </c>
      <c r="B134" s="78"/>
      <c r="C134" s="44" t="s">
        <v>129</v>
      </c>
      <c r="D134" s="45">
        <f>D138+D139</f>
        <v>2256</v>
      </c>
      <c r="E134" s="45">
        <f>E138+E139</f>
        <v>2256</v>
      </c>
      <c r="F134" s="45">
        <f t="shared" ref="F134:K134" si="46">F138+F139</f>
        <v>12705</v>
      </c>
      <c r="G134" s="45">
        <f t="shared" si="46"/>
        <v>0</v>
      </c>
      <c r="H134" s="45">
        <f t="shared" si="46"/>
        <v>0</v>
      </c>
      <c r="I134" s="45">
        <f t="shared" si="46"/>
        <v>0</v>
      </c>
      <c r="J134" s="45">
        <f t="shared" si="46"/>
        <v>2256</v>
      </c>
      <c r="K134" s="45">
        <f t="shared" si="46"/>
        <v>2256</v>
      </c>
    </row>
    <row r="135" spans="1:11" s="79" customFormat="1" hidden="1">
      <c r="A135" s="94" t="s">
        <v>21</v>
      </c>
      <c r="B135" s="78"/>
      <c r="C135" s="95" t="s">
        <v>68</v>
      </c>
      <c r="D135" s="36"/>
      <c r="E135" s="36"/>
      <c r="F135" s="36"/>
      <c r="G135" s="36"/>
      <c r="H135" s="36"/>
      <c r="I135" s="36"/>
      <c r="J135" s="36">
        <f>D135-I135</f>
        <v>0</v>
      </c>
      <c r="K135" s="36">
        <f>E135-I135</f>
        <v>0</v>
      </c>
    </row>
    <row r="136" spans="1:11" s="79" customFormat="1" hidden="1">
      <c r="A136" s="94" t="s">
        <v>21</v>
      </c>
      <c r="B136" s="78"/>
      <c r="C136" s="95" t="s">
        <v>69</v>
      </c>
      <c r="D136" s="36"/>
      <c r="E136" s="36"/>
      <c r="F136" s="36"/>
      <c r="G136" s="36"/>
      <c r="H136" s="36"/>
      <c r="I136" s="36"/>
      <c r="J136" s="36">
        <f>D136-I136</f>
        <v>0</v>
      </c>
      <c r="K136" s="36">
        <f>E136-I136</f>
        <v>0</v>
      </c>
    </row>
    <row r="137" spans="1:11" s="124" customFormat="1">
      <c r="A137" s="69"/>
      <c r="B137" s="78"/>
      <c r="C137" s="106"/>
      <c r="D137" s="45"/>
      <c r="E137" s="45"/>
      <c r="F137" s="45"/>
      <c r="G137" s="45"/>
      <c r="H137" s="45"/>
      <c r="I137" s="45"/>
      <c r="J137" s="45"/>
      <c r="K137" s="45"/>
    </row>
    <row r="138" spans="1:11" s="79" customFormat="1">
      <c r="A138" s="125" t="s">
        <v>138</v>
      </c>
      <c r="B138" s="78"/>
      <c r="C138" s="95" t="s">
        <v>258</v>
      </c>
      <c r="D138" s="45">
        <v>1776</v>
      </c>
      <c r="E138" s="45">
        <v>1776</v>
      </c>
      <c r="F138" s="45">
        <v>12100</v>
      </c>
      <c r="G138" s="45"/>
      <c r="H138" s="45"/>
      <c r="I138" s="45">
        <v>0</v>
      </c>
      <c r="J138" s="36">
        <f>D138-I138</f>
        <v>1776</v>
      </c>
      <c r="K138" s="36">
        <f>E138-I138</f>
        <v>1776</v>
      </c>
    </row>
    <row r="139" spans="1:11" s="79" customFormat="1">
      <c r="A139" s="125" t="s">
        <v>138</v>
      </c>
      <c r="B139" s="78"/>
      <c r="C139" s="95" t="s">
        <v>259</v>
      </c>
      <c r="D139" s="45">
        <v>480</v>
      </c>
      <c r="E139" s="45">
        <v>480</v>
      </c>
      <c r="F139" s="45">
        <v>605</v>
      </c>
      <c r="G139" s="45"/>
      <c r="H139" s="45"/>
      <c r="I139" s="45">
        <v>0</v>
      </c>
      <c r="J139" s="36">
        <f>D139-I139</f>
        <v>480</v>
      </c>
      <c r="K139" s="36">
        <f>E139-I139</f>
        <v>480</v>
      </c>
    </row>
    <row r="140" spans="1:11" s="79" customFormat="1">
      <c r="A140" s="104"/>
      <c r="B140" s="78"/>
      <c r="C140" s="95"/>
      <c r="D140" s="45"/>
      <c r="E140" s="45"/>
      <c r="F140" s="45"/>
      <c r="G140" s="45"/>
      <c r="H140" s="45"/>
      <c r="I140" s="45"/>
      <c r="J140" s="45"/>
      <c r="K140" s="45"/>
    </row>
    <row r="141" spans="1:11" s="124" customFormat="1" hidden="1">
      <c r="A141" s="126" t="s">
        <v>115</v>
      </c>
      <c r="B141" s="127"/>
      <c r="C141" s="128" t="s">
        <v>116</v>
      </c>
      <c r="D141" s="129"/>
      <c r="E141" s="129"/>
      <c r="F141" s="129"/>
      <c r="G141" s="129"/>
      <c r="H141" s="129"/>
      <c r="I141" s="129"/>
      <c r="J141" s="129">
        <f>D141-I141</f>
        <v>0</v>
      </c>
      <c r="K141" s="129">
        <f>E141-I141</f>
        <v>0</v>
      </c>
    </row>
    <row r="142" spans="1:11" s="124" customFormat="1" hidden="1">
      <c r="A142" s="126" t="s">
        <v>115</v>
      </c>
      <c r="B142" s="127"/>
      <c r="C142" s="128" t="s">
        <v>120</v>
      </c>
      <c r="D142" s="129"/>
      <c r="E142" s="129"/>
      <c r="F142" s="129"/>
      <c r="G142" s="129"/>
      <c r="H142" s="129"/>
      <c r="I142" s="129"/>
      <c r="J142" s="129">
        <f>D142-I142</f>
        <v>0</v>
      </c>
      <c r="K142" s="129">
        <f>E142-I142</f>
        <v>0</v>
      </c>
    </row>
    <row r="143" spans="1:11" s="124" customFormat="1" hidden="1">
      <c r="A143" s="126" t="s">
        <v>115</v>
      </c>
      <c r="B143" s="127"/>
      <c r="C143" s="128" t="s">
        <v>121</v>
      </c>
      <c r="D143" s="129"/>
      <c r="E143" s="129"/>
      <c r="F143" s="129"/>
      <c r="G143" s="129"/>
      <c r="H143" s="129"/>
      <c r="I143" s="129"/>
      <c r="J143" s="129">
        <f>D143-I143</f>
        <v>0</v>
      </c>
      <c r="K143" s="129">
        <f>E143-I143</f>
        <v>0</v>
      </c>
    </row>
    <row r="144" spans="1:11" s="124" customFormat="1" ht="13.5" hidden="1">
      <c r="A144" s="126"/>
      <c r="B144" s="127"/>
      <c r="C144" s="128"/>
      <c r="D144" s="130">
        <f>SUM(D142:D143)</f>
        <v>0</v>
      </c>
      <c r="E144" s="130">
        <f>SUM(E142:E143)</f>
        <v>0</v>
      </c>
      <c r="F144" s="130">
        <f t="shared" ref="F144:K144" si="47">SUM(F142:F143)</f>
        <v>0</v>
      </c>
      <c r="G144" s="130">
        <f t="shared" si="47"/>
        <v>0</v>
      </c>
      <c r="H144" s="130">
        <f t="shared" si="47"/>
        <v>0</v>
      </c>
      <c r="I144" s="130">
        <f t="shared" si="47"/>
        <v>0</v>
      </c>
      <c r="J144" s="130">
        <f t="shared" si="47"/>
        <v>0</v>
      </c>
      <c r="K144" s="130">
        <f t="shared" si="47"/>
        <v>0</v>
      </c>
    </row>
    <row r="145" spans="1:11" s="124" customFormat="1" hidden="1">
      <c r="A145" s="131" t="s">
        <v>122</v>
      </c>
      <c r="B145" s="127"/>
      <c r="C145" s="128"/>
      <c r="D145" s="132">
        <f>SUM(D141:D143)</f>
        <v>0</v>
      </c>
      <c r="E145" s="132">
        <f>SUM(E141:E143)</f>
        <v>0</v>
      </c>
      <c r="F145" s="132">
        <f t="shared" ref="F145:K145" si="48">SUM(F141:F143)</f>
        <v>0</v>
      </c>
      <c r="G145" s="132">
        <f t="shared" si="48"/>
        <v>0</v>
      </c>
      <c r="H145" s="132">
        <f t="shared" si="48"/>
        <v>0</v>
      </c>
      <c r="I145" s="132">
        <f t="shared" si="48"/>
        <v>0</v>
      </c>
      <c r="J145" s="132">
        <f t="shared" si="48"/>
        <v>0</v>
      </c>
      <c r="K145" s="132">
        <f t="shared" si="48"/>
        <v>0</v>
      </c>
    </row>
    <row r="146" spans="1:11" s="124" customFormat="1">
      <c r="A146" s="65" t="s">
        <v>149</v>
      </c>
      <c r="B146" s="127"/>
      <c r="C146" s="44" t="s">
        <v>177</v>
      </c>
      <c r="D146" s="45">
        <f>D147</f>
        <v>467176</v>
      </c>
      <c r="E146" s="45">
        <f t="shared" ref="E146:K146" si="49">E147</f>
        <v>405654.32000000007</v>
      </c>
      <c r="F146" s="45">
        <f t="shared" si="49"/>
        <v>333060</v>
      </c>
      <c r="G146" s="45">
        <f t="shared" si="49"/>
        <v>0</v>
      </c>
      <c r="H146" s="45">
        <f t="shared" si="49"/>
        <v>0</v>
      </c>
      <c r="I146" s="45">
        <f t="shared" si="49"/>
        <v>316209.16000000003</v>
      </c>
      <c r="J146" s="45">
        <f t="shared" si="49"/>
        <v>150966.84</v>
      </c>
      <c r="K146" s="45">
        <f t="shared" si="49"/>
        <v>89445.16</v>
      </c>
    </row>
    <row r="147" spans="1:11" s="124" customFormat="1">
      <c r="A147" s="65" t="s">
        <v>150</v>
      </c>
      <c r="B147" s="127"/>
      <c r="C147" s="44" t="s">
        <v>145</v>
      </c>
      <c r="D147" s="45">
        <f>D149+D152+D153+D154+D151+D150</f>
        <v>467176</v>
      </c>
      <c r="E147" s="45">
        <f t="shared" ref="E147:K147" si="50">E149+E152+E153+E154+E151+E150</f>
        <v>405654.32000000007</v>
      </c>
      <c r="F147" s="45">
        <f t="shared" si="50"/>
        <v>333060</v>
      </c>
      <c r="G147" s="45">
        <f t="shared" si="50"/>
        <v>0</v>
      </c>
      <c r="H147" s="45">
        <f t="shared" si="50"/>
        <v>0</v>
      </c>
      <c r="I147" s="45">
        <f t="shared" si="50"/>
        <v>316209.16000000003</v>
      </c>
      <c r="J147" s="45">
        <f t="shared" si="50"/>
        <v>150966.84</v>
      </c>
      <c r="K147" s="45">
        <f t="shared" si="50"/>
        <v>89445.16</v>
      </c>
    </row>
    <row r="148" spans="1:11" s="124" customFormat="1">
      <c r="A148" s="69" t="s">
        <v>148</v>
      </c>
      <c r="B148" s="127"/>
      <c r="C148" s="128"/>
      <c r="D148" s="132"/>
      <c r="E148" s="132"/>
      <c r="F148" s="132"/>
      <c r="G148" s="132"/>
      <c r="H148" s="132"/>
      <c r="I148" s="132"/>
      <c r="J148" s="132"/>
      <c r="K148" s="132"/>
    </row>
    <row r="149" spans="1:11" s="79" customFormat="1" ht="17.25" customHeight="1">
      <c r="A149" s="94" t="s">
        <v>18</v>
      </c>
      <c r="B149" s="78"/>
      <c r="C149" s="95" t="s">
        <v>265</v>
      </c>
      <c r="D149" s="36">
        <f>72400-19-1493.56</f>
        <v>70887.44</v>
      </c>
      <c r="E149" s="36">
        <f>72381-18100-1493.56</f>
        <v>52787.44</v>
      </c>
      <c r="F149" s="36">
        <v>55510</v>
      </c>
      <c r="G149" s="36"/>
      <c r="H149" s="36"/>
      <c r="I149" s="36">
        <v>17320.599999999999</v>
      </c>
      <c r="J149" s="36">
        <f t="shared" ref="J149:J154" si="51">D149-I149</f>
        <v>53566.840000000004</v>
      </c>
      <c r="K149" s="36">
        <f t="shared" ref="K149:K154" si="52">E149-I149</f>
        <v>35466.840000000004</v>
      </c>
    </row>
    <row r="150" spans="1:11" s="79" customFormat="1" ht="17.25" customHeight="1">
      <c r="A150" s="94" t="s">
        <v>18</v>
      </c>
      <c r="B150" s="78"/>
      <c r="C150" s="95" t="s">
        <v>461</v>
      </c>
      <c r="D150" s="36">
        <v>1493.56</v>
      </c>
      <c r="E150" s="36">
        <v>1493.56</v>
      </c>
      <c r="F150" s="36">
        <v>55510</v>
      </c>
      <c r="G150" s="36"/>
      <c r="H150" s="36"/>
      <c r="I150" s="36">
        <v>1493.56</v>
      </c>
      <c r="J150" s="36">
        <f t="shared" si="51"/>
        <v>0</v>
      </c>
      <c r="K150" s="36">
        <f t="shared" si="52"/>
        <v>0</v>
      </c>
    </row>
    <row r="151" spans="1:11" s="79" customFormat="1" ht="17.25" customHeight="1">
      <c r="A151" s="94" t="s">
        <v>18</v>
      </c>
      <c r="B151" s="78"/>
      <c r="C151" s="95" t="s">
        <v>269</v>
      </c>
      <c r="D151" s="36">
        <f>19+376-46.04</f>
        <v>348.96</v>
      </c>
      <c r="E151" s="36">
        <f>395-46.04</f>
        <v>348.96</v>
      </c>
      <c r="F151" s="36">
        <v>55510</v>
      </c>
      <c r="G151" s="36"/>
      <c r="H151" s="36"/>
      <c r="I151" s="36">
        <v>348.96</v>
      </c>
      <c r="J151" s="36">
        <f t="shared" si="51"/>
        <v>0</v>
      </c>
      <c r="K151" s="36">
        <f t="shared" si="52"/>
        <v>0</v>
      </c>
    </row>
    <row r="152" spans="1:11" s="79" customFormat="1" ht="17.25" customHeight="1">
      <c r="A152" s="94" t="s">
        <v>19</v>
      </c>
      <c r="B152" s="78"/>
      <c r="C152" s="95" t="s">
        <v>435</v>
      </c>
      <c r="D152" s="36">
        <v>46.04</v>
      </c>
      <c r="E152" s="36">
        <v>46.04</v>
      </c>
      <c r="F152" s="36">
        <v>55510</v>
      </c>
      <c r="G152" s="36"/>
      <c r="H152" s="36"/>
      <c r="I152" s="36">
        <v>46.04</v>
      </c>
      <c r="J152" s="36">
        <f t="shared" si="51"/>
        <v>0</v>
      </c>
      <c r="K152" s="36">
        <f t="shared" si="52"/>
        <v>0</v>
      </c>
    </row>
    <row r="153" spans="1:11" s="79" customFormat="1" ht="17.25" customHeight="1">
      <c r="A153" s="94" t="s">
        <v>18</v>
      </c>
      <c r="B153" s="78"/>
      <c r="C153" s="95" t="s">
        <v>214</v>
      </c>
      <c r="D153" s="36">
        <f>394400-98000-53978.32</f>
        <v>242421.68</v>
      </c>
      <c r="E153" s="36">
        <f>297000-98000</f>
        <v>199000</v>
      </c>
      <c r="F153" s="36">
        <v>55510</v>
      </c>
      <c r="G153" s="36"/>
      <c r="H153" s="36"/>
      <c r="I153" s="36">
        <v>145021.68</v>
      </c>
      <c r="J153" s="36">
        <f t="shared" si="51"/>
        <v>97400</v>
      </c>
      <c r="K153" s="36">
        <f t="shared" si="52"/>
        <v>53978.320000000007</v>
      </c>
    </row>
    <row r="154" spans="1:11" s="79" customFormat="1" ht="17.25" customHeight="1">
      <c r="A154" s="94" t="s">
        <v>19</v>
      </c>
      <c r="B154" s="78"/>
      <c r="C154" s="95" t="s">
        <v>266</v>
      </c>
      <c r="D154" s="36">
        <f>53978.32+98000</f>
        <v>151978.32</v>
      </c>
      <c r="E154" s="36">
        <f>53978.32+98000</f>
        <v>151978.32</v>
      </c>
      <c r="F154" s="36">
        <v>55510</v>
      </c>
      <c r="G154" s="36"/>
      <c r="H154" s="36"/>
      <c r="I154" s="36">
        <v>151978.32</v>
      </c>
      <c r="J154" s="36">
        <f t="shared" si="51"/>
        <v>0</v>
      </c>
      <c r="K154" s="36">
        <f t="shared" si="52"/>
        <v>0</v>
      </c>
    </row>
    <row r="155" spans="1:11" s="79" customFormat="1" ht="17.25" customHeight="1">
      <c r="A155" s="94"/>
      <c r="B155" s="78"/>
      <c r="C155" s="95"/>
      <c r="D155" s="36"/>
      <c r="E155" s="36"/>
      <c r="F155" s="36"/>
      <c r="G155" s="36"/>
      <c r="H155" s="36"/>
      <c r="I155" s="36"/>
      <c r="J155" s="36"/>
      <c r="K155" s="36"/>
    </row>
    <row r="156" spans="1:11" s="79" customFormat="1" ht="17.25" customHeight="1">
      <c r="A156" s="104" t="s">
        <v>151</v>
      </c>
      <c r="B156" s="78"/>
      <c r="C156" s="133" t="s">
        <v>161</v>
      </c>
      <c r="D156" s="45">
        <f>D157+D169</f>
        <v>338378.66000000003</v>
      </c>
      <c r="E156" s="45">
        <f t="shared" ref="E156:K156" si="53">E157+E169</f>
        <v>338378.66000000003</v>
      </c>
      <c r="F156" s="45">
        <f t="shared" si="53"/>
        <v>0</v>
      </c>
      <c r="G156" s="45">
        <f t="shared" si="53"/>
        <v>0</v>
      </c>
      <c r="H156" s="45">
        <f t="shared" si="53"/>
        <v>0</v>
      </c>
      <c r="I156" s="45">
        <f t="shared" si="53"/>
        <v>320045.47000000003</v>
      </c>
      <c r="J156" s="45">
        <f t="shared" si="53"/>
        <v>18333.19000000001</v>
      </c>
      <c r="K156" s="45">
        <f t="shared" si="53"/>
        <v>18333.19000000001</v>
      </c>
    </row>
    <row r="157" spans="1:11" s="79" customFormat="1" ht="17.25" customHeight="1">
      <c r="A157" s="104" t="s">
        <v>152</v>
      </c>
      <c r="B157" s="78"/>
      <c r="C157" s="133" t="s">
        <v>293</v>
      </c>
      <c r="D157" s="45">
        <f>D158+D166+D167</f>
        <v>335457.39</v>
      </c>
      <c r="E157" s="45">
        <f t="shared" ref="E157:K157" si="54">E158+E166+E167</f>
        <v>335457.39</v>
      </c>
      <c r="F157" s="45">
        <f t="shared" si="54"/>
        <v>0</v>
      </c>
      <c r="G157" s="45">
        <f t="shared" si="54"/>
        <v>0</v>
      </c>
      <c r="H157" s="45">
        <f t="shared" si="54"/>
        <v>0</v>
      </c>
      <c r="I157" s="45">
        <f t="shared" si="54"/>
        <v>317238.63</v>
      </c>
      <c r="J157" s="45">
        <f t="shared" si="54"/>
        <v>18218.760000000009</v>
      </c>
      <c r="K157" s="45">
        <f t="shared" si="54"/>
        <v>18218.760000000009</v>
      </c>
    </row>
    <row r="158" spans="1:11" s="79" customFormat="1" ht="17.25" customHeight="1">
      <c r="A158" s="104" t="s">
        <v>152</v>
      </c>
      <c r="B158" s="78"/>
      <c r="C158" s="133" t="s">
        <v>160</v>
      </c>
      <c r="D158" s="45">
        <f>D159</f>
        <v>335457.39</v>
      </c>
      <c r="E158" s="45">
        <f>E159</f>
        <v>335457.39</v>
      </c>
      <c r="F158" s="45">
        <f t="shared" ref="F158:K158" si="55">F159</f>
        <v>0</v>
      </c>
      <c r="G158" s="45">
        <f t="shared" si="55"/>
        <v>0</v>
      </c>
      <c r="H158" s="45">
        <f t="shared" si="55"/>
        <v>0</v>
      </c>
      <c r="I158" s="45">
        <f t="shared" si="55"/>
        <v>317238.63</v>
      </c>
      <c r="J158" s="45">
        <f t="shared" si="55"/>
        <v>18218.760000000009</v>
      </c>
      <c r="K158" s="45">
        <f t="shared" si="55"/>
        <v>18218.760000000009</v>
      </c>
    </row>
    <row r="159" spans="1:11" s="124" customFormat="1">
      <c r="A159" s="125" t="s">
        <v>148</v>
      </c>
      <c r="B159" s="127"/>
      <c r="C159" s="134" t="s">
        <v>159</v>
      </c>
      <c r="D159" s="45">
        <f>D160+D161+D164+D163</f>
        <v>335457.39</v>
      </c>
      <c r="E159" s="45">
        <f>E160+E161+E164+E163</f>
        <v>335457.39</v>
      </c>
      <c r="F159" s="45">
        <f t="shared" ref="F159:K159" si="56">F160+F161+F164</f>
        <v>0</v>
      </c>
      <c r="G159" s="45">
        <f t="shared" si="56"/>
        <v>0</v>
      </c>
      <c r="H159" s="45">
        <f t="shared" si="56"/>
        <v>0</v>
      </c>
      <c r="I159" s="45">
        <f t="shared" si="56"/>
        <v>317238.63</v>
      </c>
      <c r="J159" s="45">
        <f t="shared" si="56"/>
        <v>18218.760000000009</v>
      </c>
      <c r="K159" s="45">
        <f t="shared" si="56"/>
        <v>18218.760000000009</v>
      </c>
    </row>
    <row r="160" spans="1:11">
      <c r="A160" s="94" t="s">
        <v>17</v>
      </c>
      <c r="B160" s="41"/>
      <c r="C160" s="95" t="s">
        <v>215</v>
      </c>
      <c r="D160" s="36">
        <v>293475</v>
      </c>
      <c r="E160" s="36">
        <v>293475</v>
      </c>
      <c r="F160" s="135"/>
      <c r="G160" s="36"/>
      <c r="H160" s="36"/>
      <c r="I160" s="36">
        <v>275756.24</v>
      </c>
      <c r="J160" s="36">
        <f>D160-I160</f>
        <v>17718.760000000009</v>
      </c>
      <c r="K160" s="36">
        <f>E160-I160</f>
        <v>17718.760000000009</v>
      </c>
    </row>
    <row r="161" spans="1:11">
      <c r="A161" s="125" t="s">
        <v>138</v>
      </c>
      <c r="B161" s="41"/>
      <c r="C161" s="95" t="s">
        <v>260</v>
      </c>
      <c r="D161" s="36">
        <f>50621-9138.61</f>
        <v>41482.39</v>
      </c>
      <c r="E161" s="36">
        <f>50621-9138.61</f>
        <v>41482.39</v>
      </c>
      <c r="F161" s="36"/>
      <c r="G161" s="36"/>
      <c r="H161" s="36"/>
      <c r="I161" s="36">
        <v>41482.39</v>
      </c>
      <c r="J161" s="36">
        <f>D161-I161</f>
        <v>0</v>
      </c>
      <c r="K161" s="36">
        <f>E161-I161</f>
        <v>0</v>
      </c>
    </row>
    <row r="162" spans="1:11" hidden="1">
      <c r="A162" s="94" t="s">
        <v>18</v>
      </c>
      <c r="B162" s="41"/>
      <c r="C162" s="95" t="s">
        <v>95</v>
      </c>
      <c r="D162" s="36"/>
      <c r="E162" s="36"/>
      <c r="F162" s="36"/>
      <c r="G162" s="36"/>
      <c r="H162" s="36"/>
      <c r="I162" s="36"/>
      <c r="J162" s="36">
        <f>D162-I162</f>
        <v>0</v>
      </c>
      <c r="K162" s="36">
        <f>E162-I162</f>
        <v>0</v>
      </c>
    </row>
    <row r="163" spans="1:11">
      <c r="A163" s="125" t="s">
        <v>138</v>
      </c>
      <c r="B163" s="41"/>
      <c r="C163" s="95" t="s">
        <v>287</v>
      </c>
      <c r="D163" s="36">
        <f>19465-19465</f>
        <v>0</v>
      </c>
      <c r="E163" s="36">
        <f>19465-19465</f>
        <v>0</v>
      </c>
      <c r="F163" s="36"/>
      <c r="G163" s="36"/>
      <c r="H163" s="36"/>
      <c r="I163" s="36">
        <v>0</v>
      </c>
      <c r="J163" s="36">
        <f>D163-I163</f>
        <v>0</v>
      </c>
      <c r="K163" s="36">
        <f>E163-I163</f>
        <v>0</v>
      </c>
    </row>
    <row r="164" spans="1:11">
      <c r="A164" s="94" t="s">
        <v>19</v>
      </c>
      <c r="B164" s="41"/>
      <c r="C164" s="95" t="s">
        <v>261</v>
      </c>
      <c r="D164" s="36">
        <v>500</v>
      </c>
      <c r="E164" s="36">
        <v>500</v>
      </c>
      <c r="F164" s="36"/>
      <c r="G164" s="36"/>
      <c r="H164" s="36"/>
      <c r="I164" s="36">
        <v>0</v>
      </c>
      <c r="J164" s="36">
        <f>D164-I164</f>
        <v>500</v>
      </c>
      <c r="K164" s="36">
        <f>E164-I164</f>
        <v>500</v>
      </c>
    </row>
    <row r="165" spans="1:11">
      <c r="A165" s="94"/>
      <c r="B165" s="41"/>
      <c r="C165" s="95"/>
      <c r="D165" s="36"/>
      <c r="E165" s="36"/>
      <c r="F165" s="36"/>
      <c r="G165" s="36"/>
      <c r="H165" s="36"/>
      <c r="I165" s="36"/>
      <c r="J165" s="36"/>
      <c r="K165" s="36"/>
    </row>
    <row r="166" spans="1:11">
      <c r="A166" s="94" t="s">
        <v>19</v>
      </c>
      <c r="B166" s="41"/>
      <c r="C166" s="95" t="s">
        <v>283</v>
      </c>
      <c r="D166" s="36">
        <v>0</v>
      </c>
      <c r="E166" s="36">
        <v>0</v>
      </c>
      <c r="F166" s="36"/>
      <c r="G166" s="36"/>
      <c r="H166" s="36"/>
      <c r="I166" s="36">
        <v>0</v>
      </c>
      <c r="J166" s="36">
        <f>D166-I166</f>
        <v>0</v>
      </c>
      <c r="K166" s="36">
        <f>E166-I166</f>
        <v>0</v>
      </c>
    </row>
    <row r="167" spans="1:11">
      <c r="A167" s="94" t="s">
        <v>19</v>
      </c>
      <c r="B167" s="41"/>
      <c r="C167" s="95" t="s">
        <v>284</v>
      </c>
      <c r="D167" s="36">
        <v>0</v>
      </c>
      <c r="E167" s="36">
        <v>0</v>
      </c>
      <c r="F167" s="36"/>
      <c r="G167" s="36"/>
      <c r="H167" s="36"/>
      <c r="I167" s="36">
        <v>0</v>
      </c>
      <c r="J167" s="36">
        <f>D167-I167</f>
        <v>0</v>
      </c>
      <c r="K167" s="36">
        <f>E167-I167</f>
        <v>0</v>
      </c>
    </row>
    <row r="168" spans="1:11" ht="25.5">
      <c r="A168" s="116" t="s">
        <v>449</v>
      </c>
      <c r="B168" s="41"/>
      <c r="C168" s="44" t="s">
        <v>448</v>
      </c>
      <c r="D168" s="36"/>
      <c r="E168" s="36"/>
      <c r="F168" s="36"/>
      <c r="G168" s="36"/>
      <c r="H168" s="36"/>
      <c r="I168" s="36"/>
      <c r="J168" s="36"/>
      <c r="K168" s="36"/>
    </row>
    <row r="169" spans="1:11">
      <c r="A169" s="94" t="s">
        <v>19</v>
      </c>
      <c r="B169" s="41"/>
      <c r="C169" s="95" t="s">
        <v>462</v>
      </c>
      <c r="D169" s="36">
        <v>2921.27</v>
      </c>
      <c r="E169" s="36">
        <v>2921.27</v>
      </c>
      <c r="F169" s="36"/>
      <c r="G169" s="36"/>
      <c r="H169" s="36"/>
      <c r="I169" s="36">
        <v>2806.84</v>
      </c>
      <c r="J169" s="36">
        <f>D169-I169</f>
        <v>114.42999999999984</v>
      </c>
      <c r="K169" s="36">
        <f>E169-I169</f>
        <v>114.42999999999984</v>
      </c>
    </row>
    <row r="170" spans="1:11" s="79" customFormat="1">
      <c r="A170" s="114"/>
      <c r="B170" s="78"/>
      <c r="C170" s="106"/>
      <c r="D170" s="45"/>
      <c r="E170" s="45"/>
      <c r="F170" s="45"/>
      <c r="G170" s="45"/>
      <c r="H170" s="45"/>
      <c r="I170" s="45"/>
      <c r="J170" s="45"/>
      <c r="K170" s="45"/>
    </row>
    <row r="171" spans="1:11" s="79" customFormat="1">
      <c r="A171" s="104" t="s">
        <v>153</v>
      </c>
      <c r="B171" s="78"/>
      <c r="C171" s="133" t="s">
        <v>162</v>
      </c>
      <c r="D171" s="45">
        <f>D172+D192</f>
        <v>3082852</v>
      </c>
      <c r="E171" s="45">
        <f>E172+E192</f>
        <v>2293634.42</v>
      </c>
      <c r="F171" s="45" t="e">
        <f t="shared" ref="F171:K171" si="57">F172+F192</f>
        <v>#REF!</v>
      </c>
      <c r="G171" s="45" t="e">
        <f t="shared" si="57"/>
        <v>#REF!</v>
      </c>
      <c r="H171" s="45" t="e">
        <f t="shared" si="57"/>
        <v>#REF!</v>
      </c>
      <c r="I171" s="45">
        <f t="shared" si="57"/>
        <v>2057782.1400000001</v>
      </c>
      <c r="J171" s="45">
        <f t="shared" si="57"/>
        <v>1025069.8600000001</v>
      </c>
      <c r="K171" s="45">
        <f t="shared" si="57"/>
        <v>235852.28</v>
      </c>
    </row>
    <row r="172" spans="1:11" s="79" customFormat="1" ht="25.5">
      <c r="A172" s="104" t="s">
        <v>154</v>
      </c>
      <c r="B172" s="78"/>
      <c r="C172" s="133" t="s">
        <v>163</v>
      </c>
      <c r="D172" s="45">
        <f>D173+D182+D183+D185+D190</f>
        <v>874369</v>
      </c>
      <c r="E172" s="45">
        <f>E173+E182+E183+E185+E190</f>
        <v>658623.01</v>
      </c>
      <c r="F172" s="45">
        <f t="shared" ref="F172:K172" si="58">F173+F182+F183+F185+F190</f>
        <v>0</v>
      </c>
      <c r="G172" s="45">
        <f t="shared" si="58"/>
        <v>0</v>
      </c>
      <c r="H172" s="45">
        <f t="shared" si="58"/>
        <v>0</v>
      </c>
      <c r="I172" s="45">
        <f t="shared" si="58"/>
        <v>584102.12000000011</v>
      </c>
      <c r="J172" s="45">
        <f t="shared" si="58"/>
        <v>290266.88</v>
      </c>
      <c r="K172" s="45">
        <f t="shared" si="58"/>
        <v>74520.889999999985</v>
      </c>
    </row>
    <row r="173" spans="1:11" s="79" customFormat="1" ht="25.5">
      <c r="A173" s="125" t="s">
        <v>156</v>
      </c>
      <c r="B173" s="78"/>
      <c r="C173" s="134" t="s">
        <v>164</v>
      </c>
      <c r="D173" s="45">
        <f>D174+D177+D180</f>
        <v>763308</v>
      </c>
      <c r="E173" s="45">
        <f>E174+E177+E180</f>
        <v>580363.01</v>
      </c>
      <c r="F173" s="45">
        <f t="shared" ref="F173:K173" si="59">F174+F177+F180</f>
        <v>0</v>
      </c>
      <c r="G173" s="45">
        <f t="shared" si="59"/>
        <v>0</v>
      </c>
      <c r="H173" s="45">
        <f t="shared" si="59"/>
        <v>0</v>
      </c>
      <c r="I173" s="45">
        <f t="shared" si="59"/>
        <v>553810.76</v>
      </c>
      <c r="J173" s="45">
        <f t="shared" si="59"/>
        <v>209497.24</v>
      </c>
      <c r="K173" s="45">
        <f t="shared" si="59"/>
        <v>26552.249999999993</v>
      </c>
    </row>
    <row r="174" spans="1:11">
      <c r="A174" s="94" t="s">
        <v>25</v>
      </c>
      <c r="B174" s="41"/>
      <c r="C174" s="95" t="s">
        <v>217</v>
      </c>
      <c r="D174" s="36">
        <f>622582-47460</f>
        <v>575122</v>
      </c>
      <c r="E174" s="36">
        <f>425543+4550.91</f>
        <v>430093.91</v>
      </c>
      <c r="F174" s="36"/>
      <c r="G174" s="36"/>
      <c r="H174" s="36"/>
      <c r="I174" s="36">
        <v>429846.18</v>
      </c>
      <c r="J174" s="36">
        <f>D174-I174</f>
        <v>145275.82</v>
      </c>
      <c r="K174" s="36">
        <f>E174-I174</f>
        <v>247.72999999998137</v>
      </c>
    </row>
    <row r="175" spans="1:11" ht="38.25">
      <c r="A175" s="94" t="s">
        <v>26</v>
      </c>
      <c r="B175" s="41"/>
      <c r="C175" s="95" t="s">
        <v>216</v>
      </c>
      <c r="D175" s="36">
        <v>0</v>
      </c>
      <c r="E175" s="36">
        <v>0</v>
      </c>
      <c r="F175" s="36"/>
      <c r="G175" s="36"/>
      <c r="H175" s="36"/>
      <c r="I175" s="36">
        <v>-6494.4</v>
      </c>
      <c r="J175" s="36">
        <f>D175-I175</f>
        <v>6494.4</v>
      </c>
      <c r="K175" s="36">
        <f>E175-I175</f>
        <v>6494.4</v>
      </c>
    </row>
    <row r="176" spans="1:11" ht="38.25">
      <c r="A176" s="94" t="s">
        <v>27</v>
      </c>
      <c r="B176" s="41"/>
      <c r="C176" s="95" t="s">
        <v>218</v>
      </c>
      <c r="D176" s="36">
        <v>14500</v>
      </c>
      <c r="E176" s="36">
        <v>10875</v>
      </c>
      <c r="F176" s="36"/>
      <c r="G176" s="36"/>
      <c r="H176" s="36"/>
      <c r="I176" s="36">
        <v>2500</v>
      </c>
      <c r="J176" s="36">
        <f>D176-I176</f>
        <v>12000</v>
      </c>
      <c r="K176" s="36">
        <f>E176-I176</f>
        <v>8375</v>
      </c>
    </row>
    <row r="177" spans="1:11" s="102" customFormat="1" ht="13.5">
      <c r="A177" s="103" t="s">
        <v>158</v>
      </c>
      <c r="B177" s="99"/>
      <c r="C177" s="42"/>
      <c r="D177" s="101">
        <f t="shared" ref="D177:K177" si="60">SUM(D175:D176)</f>
        <v>14500</v>
      </c>
      <c r="E177" s="101">
        <f>SUM(E175:E176)</f>
        <v>10875</v>
      </c>
      <c r="F177" s="101">
        <f t="shared" si="60"/>
        <v>0</v>
      </c>
      <c r="G177" s="101">
        <f t="shared" si="60"/>
        <v>0</v>
      </c>
      <c r="H177" s="101">
        <f t="shared" si="60"/>
        <v>0</v>
      </c>
      <c r="I177" s="101">
        <f t="shared" si="60"/>
        <v>-3994.3999999999996</v>
      </c>
      <c r="J177" s="101">
        <f t="shared" si="60"/>
        <v>18494.400000000001</v>
      </c>
      <c r="K177" s="101">
        <f t="shared" si="60"/>
        <v>14869.4</v>
      </c>
    </row>
    <row r="178" spans="1:11">
      <c r="A178" s="105" t="s">
        <v>110</v>
      </c>
      <c r="B178" s="41"/>
      <c r="C178" s="95" t="s">
        <v>219</v>
      </c>
      <c r="D178" s="36">
        <f>136970-10441</f>
        <v>126529</v>
      </c>
      <c r="E178" s="36">
        <v>99684.27</v>
      </c>
      <c r="F178" s="36"/>
      <c r="G178" s="36"/>
      <c r="H178" s="36"/>
      <c r="I178" s="36">
        <v>93915.28</v>
      </c>
      <c r="J178" s="36">
        <f>D178-I178</f>
        <v>32613.72</v>
      </c>
      <c r="K178" s="36">
        <f>E178-I178</f>
        <v>5768.9900000000052</v>
      </c>
    </row>
    <row r="179" spans="1:11">
      <c r="A179" s="105" t="s">
        <v>111</v>
      </c>
      <c r="B179" s="41"/>
      <c r="C179" s="95" t="s">
        <v>220</v>
      </c>
      <c r="D179" s="36">
        <f>51049-3892</f>
        <v>47157</v>
      </c>
      <c r="E179" s="36">
        <f>37864.15+1845.68</f>
        <v>39709.83</v>
      </c>
      <c r="F179" s="36"/>
      <c r="G179" s="36"/>
      <c r="H179" s="36"/>
      <c r="I179" s="36">
        <v>34043.699999999997</v>
      </c>
      <c r="J179" s="36">
        <f>D179-I179</f>
        <v>13113.300000000003</v>
      </c>
      <c r="K179" s="36">
        <f>E179-I179</f>
        <v>5666.1300000000047</v>
      </c>
    </row>
    <row r="180" spans="1:11" s="102" customFormat="1" ht="13.5">
      <c r="A180" s="125" t="s">
        <v>157</v>
      </c>
      <c r="B180" s="99"/>
      <c r="C180" s="42"/>
      <c r="D180" s="101">
        <f t="shared" ref="D180:K180" si="61">SUM(D178:D179)</f>
        <v>173686</v>
      </c>
      <c r="E180" s="101">
        <f>SUM(E178:E179)</f>
        <v>139394.1</v>
      </c>
      <c r="F180" s="101">
        <f t="shared" si="61"/>
        <v>0</v>
      </c>
      <c r="G180" s="101">
        <f t="shared" si="61"/>
        <v>0</v>
      </c>
      <c r="H180" s="101">
        <f t="shared" si="61"/>
        <v>0</v>
      </c>
      <c r="I180" s="101">
        <f t="shared" si="61"/>
        <v>127958.98</v>
      </c>
      <c r="J180" s="101">
        <f t="shared" si="61"/>
        <v>45727.020000000004</v>
      </c>
      <c r="K180" s="101">
        <f t="shared" si="61"/>
        <v>11435.12000000001</v>
      </c>
    </row>
    <row r="181" spans="1:11" s="102" customFormat="1" ht="13.5">
      <c r="A181" s="125"/>
      <c r="B181" s="99"/>
      <c r="C181" s="42"/>
      <c r="D181" s="101"/>
      <c r="E181" s="101"/>
      <c r="F181" s="101"/>
      <c r="G181" s="101"/>
      <c r="H181" s="101"/>
      <c r="I181" s="101"/>
      <c r="J181" s="101"/>
      <c r="K181" s="101"/>
    </row>
    <row r="182" spans="1:11">
      <c r="A182" s="94" t="s">
        <v>16</v>
      </c>
      <c r="B182" s="41"/>
      <c r="C182" s="95" t="s">
        <v>221</v>
      </c>
      <c r="D182" s="36">
        <v>16934</v>
      </c>
      <c r="E182" s="36">
        <v>12700</v>
      </c>
      <c r="F182" s="36"/>
      <c r="G182" s="36"/>
      <c r="H182" s="36"/>
      <c r="I182" s="36">
        <v>5578.8</v>
      </c>
      <c r="J182" s="36">
        <f>D182-I182</f>
        <v>11355.2</v>
      </c>
      <c r="K182" s="36">
        <f>E182-I182</f>
        <v>7121.2</v>
      </c>
    </row>
    <row r="183" spans="1:11">
      <c r="A183" s="94" t="s">
        <v>19</v>
      </c>
      <c r="B183" s="41"/>
      <c r="C183" s="95" t="s">
        <v>262</v>
      </c>
      <c r="D183" s="36">
        <v>11350</v>
      </c>
      <c r="E183" s="36">
        <v>8350</v>
      </c>
      <c r="F183" s="36"/>
      <c r="G183" s="36"/>
      <c r="H183" s="36"/>
      <c r="I183" s="36">
        <v>375</v>
      </c>
      <c r="J183" s="36">
        <f>D183-I183</f>
        <v>10975</v>
      </c>
      <c r="K183" s="36">
        <f>E183-I183</f>
        <v>7975</v>
      </c>
    </row>
    <row r="184" spans="1:11">
      <c r="A184" s="94"/>
      <c r="B184" s="41"/>
      <c r="C184" s="95"/>
      <c r="D184" s="36"/>
      <c r="E184" s="36"/>
      <c r="F184" s="36"/>
      <c r="G184" s="36"/>
      <c r="H184" s="36"/>
      <c r="I184" s="36"/>
      <c r="J184" s="36"/>
      <c r="K184" s="36"/>
    </row>
    <row r="185" spans="1:11" s="102" customFormat="1" ht="13.5">
      <c r="A185" s="125" t="s">
        <v>148</v>
      </c>
      <c r="B185" s="99"/>
      <c r="C185" s="42"/>
      <c r="D185" s="101">
        <f>D186+D187+D188</f>
        <v>73584</v>
      </c>
      <c r="E185" s="101">
        <f>E186+E187+E188</f>
        <v>52517</v>
      </c>
      <c r="F185" s="101">
        <f t="shared" ref="F185:K185" si="62">F186+F187+F188</f>
        <v>0</v>
      </c>
      <c r="G185" s="101">
        <f t="shared" si="62"/>
        <v>0</v>
      </c>
      <c r="H185" s="101">
        <f t="shared" si="62"/>
        <v>0</v>
      </c>
      <c r="I185" s="101">
        <f t="shared" si="62"/>
        <v>24337.56</v>
      </c>
      <c r="J185" s="101">
        <f t="shared" si="62"/>
        <v>49246.44</v>
      </c>
      <c r="K185" s="101">
        <f t="shared" si="62"/>
        <v>28179.439999999999</v>
      </c>
    </row>
    <row r="186" spans="1:11">
      <c r="A186" s="94" t="s">
        <v>15</v>
      </c>
      <c r="B186" s="41"/>
      <c r="C186" s="95" t="s">
        <v>263</v>
      </c>
      <c r="D186" s="36">
        <v>11948</v>
      </c>
      <c r="E186" s="36">
        <v>8961</v>
      </c>
      <c r="F186" s="36"/>
      <c r="G186" s="36"/>
      <c r="H186" s="36"/>
      <c r="I186" s="36">
        <v>5527.56</v>
      </c>
      <c r="J186" s="36">
        <f>D186-I186</f>
        <v>6420.44</v>
      </c>
      <c r="K186" s="36">
        <f>E186-I186</f>
        <v>3433.4399999999996</v>
      </c>
    </row>
    <row r="187" spans="1:11">
      <c r="A187" s="94" t="s">
        <v>18</v>
      </c>
      <c r="B187" s="41"/>
      <c r="C187" s="95" t="s">
        <v>222</v>
      </c>
      <c r="D187" s="36">
        <v>3852</v>
      </c>
      <c r="E187" s="36">
        <v>3852</v>
      </c>
      <c r="F187" s="36"/>
      <c r="G187" s="36"/>
      <c r="H187" s="36"/>
      <c r="I187" s="36">
        <v>2900</v>
      </c>
      <c r="J187" s="36">
        <f>D187-I187</f>
        <v>952</v>
      </c>
      <c r="K187" s="36">
        <f>E187-I187</f>
        <v>952</v>
      </c>
    </row>
    <row r="188" spans="1:11">
      <c r="A188" s="94" t="s">
        <v>19</v>
      </c>
      <c r="B188" s="41"/>
      <c r="C188" s="95" t="s">
        <v>264</v>
      </c>
      <c r="D188" s="36">
        <v>57784</v>
      </c>
      <c r="E188" s="36">
        <v>39704</v>
      </c>
      <c r="F188" s="36"/>
      <c r="G188" s="36"/>
      <c r="H188" s="36"/>
      <c r="I188" s="36">
        <v>15910</v>
      </c>
      <c r="J188" s="36">
        <f>D188-I188</f>
        <v>41874</v>
      </c>
      <c r="K188" s="36">
        <f>E188-I188</f>
        <v>23794</v>
      </c>
    </row>
    <row r="189" spans="1:11" hidden="1">
      <c r="A189" s="94" t="s">
        <v>21</v>
      </c>
      <c r="B189" s="41"/>
      <c r="C189" s="128" t="s">
        <v>36</v>
      </c>
      <c r="D189" s="36"/>
      <c r="E189" s="36"/>
      <c r="F189" s="36"/>
      <c r="G189" s="36"/>
      <c r="H189" s="36"/>
      <c r="I189" s="36"/>
      <c r="J189" s="36">
        <f>D189-I189</f>
        <v>0</v>
      </c>
      <c r="K189" s="36">
        <f>E189-I189</f>
        <v>0</v>
      </c>
    </row>
    <row r="190" spans="1:11">
      <c r="A190" s="69" t="s">
        <v>166</v>
      </c>
      <c r="B190" s="41"/>
      <c r="C190" s="95" t="s">
        <v>223</v>
      </c>
      <c r="D190" s="36">
        <v>9193</v>
      </c>
      <c r="E190" s="36">
        <v>4693</v>
      </c>
      <c r="F190" s="36"/>
      <c r="G190" s="36"/>
      <c r="H190" s="36"/>
      <c r="I190" s="36">
        <v>0</v>
      </c>
      <c r="J190" s="36">
        <f>D190-I190</f>
        <v>9193</v>
      </c>
      <c r="K190" s="36">
        <f>E190-I190</f>
        <v>4693</v>
      </c>
    </row>
    <row r="191" spans="1:11">
      <c r="A191" s="69"/>
      <c r="B191" s="41"/>
      <c r="C191" s="95"/>
      <c r="D191" s="36"/>
      <c r="E191" s="36"/>
      <c r="F191" s="36"/>
      <c r="G191" s="36"/>
      <c r="H191" s="36"/>
      <c r="I191" s="36"/>
      <c r="J191" s="36"/>
      <c r="K191" s="36"/>
    </row>
    <row r="192" spans="1:11" s="79" customFormat="1">
      <c r="A192" s="107" t="s">
        <v>169</v>
      </c>
      <c r="B192" s="78"/>
      <c r="C192" s="106" t="s">
        <v>170</v>
      </c>
      <c r="D192" s="45">
        <f t="shared" ref="D192:K192" si="63">D193+D225</f>
        <v>2208483</v>
      </c>
      <c r="E192" s="45">
        <f>E193+E225</f>
        <v>1635011.41</v>
      </c>
      <c r="F192" s="45" t="e">
        <f t="shared" si="63"/>
        <v>#REF!</v>
      </c>
      <c r="G192" s="45" t="e">
        <f t="shared" si="63"/>
        <v>#REF!</v>
      </c>
      <c r="H192" s="45" t="e">
        <f t="shared" si="63"/>
        <v>#REF!</v>
      </c>
      <c r="I192" s="45">
        <f t="shared" si="63"/>
        <v>1473680.02</v>
      </c>
      <c r="J192" s="45">
        <f t="shared" si="63"/>
        <v>734802.9800000001</v>
      </c>
      <c r="K192" s="45">
        <f t="shared" si="63"/>
        <v>161331.39000000001</v>
      </c>
    </row>
    <row r="193" spans="1:11" s="79" customFormat="1" ht="111" customHeight="1">
      <c r="A193" s="136" t="s">
        <v>167</v>
      </c>
      <c r="B193" s="78"/>
      <c r="C193" s="106"/>
      <c r="D193" s="45">
        <f>D194+D204+D213+D215+D217</f>
        <v>1742593</v>
      </c>
      <c r="E193" s="45">
        <f>E194+E204+E213+E215+E217</f>
        <v>1292795.8999999999</v>
      </c>
      <c r="F193" s="45">
        <f t="shared" ref="F193:K193" si="64">F194+F204+F213+F215+F217</f>
        <v>1874</v>
      </c>
      <c r="G193" s="45">
        <f t="shared" si="64"/>
        <v>0</v>
      </c>
      <c r="H193" s="45">
        <f t="shared" si="64"/>
        <v>0</v>
      </c>
      <c r="I193" s="45">
        <f t="shared" si="64"/>
        <v>1156176.9100000001</v>
      </c>
      <c r="J193" s="45">
        <f t="shared" si="64"/>
        <v>586416.09000000008</v>
      </c>
      <c r="K193" s="45">
        <f t="shared" si="64"/>
        <v>136618.99000000005</v>
      </c>
    </row>
    <row r="194" spans="1:11" s="40" customFormat="1" ht="26.25">
      <c r="A194" s="69" t="s">
        <v>156</v>
      </c>
      <c r="B194" s="39"/>
      <c r="C194" s="27"/>
      <c r="D194" s="28">
        <f>D195+D200+D203</f>
        <v>946940</v>
      </c>
      <c r="E194" s="28">
        <f>E195+E200+E203</f>
        <v>696327.48</v>
      </c>
      <c r="F194" s="28">
        <f t="shared" ref="F194:K194" si="65">F195+F200+F203</f>
        <v>1874</v>
      </c>
      <c r="G194" s="28">
        <f t="shared" si="65"/>
        <v>0</v>
      </c>
      <c r="H194" s="28">
        <f t="shared" si="65"/>
        <v>0</v>
      </c>
      <c r="I194" s="28">
        <f t="shared" si="65"/>
        <v>709661.83</v>
      </c>
      <c r="J194" s="28">
        <f t="shared" si="65"/>
        <v>237278.17000000004</v>
      </c>
      <c r="K194" s="28">
        <f t="shared" si="65"/>
        <v>-13334.349999999955</v>
      </c>
    </row>
    <row r="195" spans="1:11" ht="13.5">
      <c r="A195" s="94" t="s">
        <v>25</v>
      </c>
      <c r="B195" s="99"/>
      <c r="C195" s="95" t="s">
        <v>225</v>
      </c>
      <c r="D195" s="36">
        <f>795076-20000-36000-36000</f>
        <v>703076</v>
      </c>
      <c r="E195" s="36">
        <f>540801.24-24120.76</f>
        <v>516680.48</v>
      </c>
      <c r="F195" s="36"/>
      <c r="G195" s="36"/>
      <c r="H195" s="36"/>
      <c r="I195" s="36">
        <v>543079.93999999994</v>
      </c>
      <c r="J195" s="36">
        <f>D195-I195</f>
        <v>159996.06000000006</v>
      </c>
      <c r="K195" s="36">
        <f>E195-I195</f>
        <v>-26399.459999999963</v>
      </c>
    </row>
    <row r="196" spans="1:11" ht="38.25" hidden="1">
      <c r="A196" s="94" t="s">
        <v>26</v>
      </c>
      <c r="B196" s="41"/>
      <c r="C196" s="95" t="s">
        <v>109</v>
      </c>
      <c r="D196" s="36"/>
      <c r="E196" s="36"/>
      <c r="F196" s="36"/>
      <c r="G196" s="36"/>
      <c r="H196" s="36"/>
      <c r="I196" s="36"/>
      <c r="J196" s="36">
        <f>D196-I196</f>
        <v>0</v>
      </c>
      <c r="K196" s="36">
        <f>E196-I196</f>
        <v>0</v>
      </c>
    </row>
    <row r="197" spans="1:11" ht="38.25">
      <c r="A197" s="94" t="s">
        <v>26</v>
      </c>
      <c r="B197" s="41"/>
      <c r="C197" s="95" t="s">
        <v>224</v>
      </c>
      <c r="D197" s="36">
        <f>2000-2000</f>
        <v>0</v>
      </c>
      <c r="E197" s="36">
        <f>2000-2000</f>
        <v>0</v>
      </c>
      <c r="F197" s="36"/>
      <c r="G197" s="36"/>
      <c r="H197" s="36"/>
      <c r="I197" s="36">
        <v>0</v>
      </c>
      <c r="J197" s="36">
        <f>D197-I197</f>
        <v>0</v>
      </c>
      <c r="K197" s="36">
        <f>E197-I197</f>
        <v>0</v>
      </c>
    </row>
    <row r="198" spans="1:11" ht="38.25">
      <c r="A198" s="94" t="s">
        <v>27</v>
      </c>
      <c r="B198" s="41"/>
      <c r="C198" s="95" t="s">
        <v>226</v>
      </c>
      <c r="D198" s="36">
        <v>3750</v>
      </c>
      <c r="E198" s="36">
        <v>3000</v>
      </c>
      <c r="F198" s="36">
        <v>937</v>
      </c>
      <c r="G198" s="36"/>
      <c r="H198" s="36"/>
      <c r="I198" s="36">
        <v>0</v>
      </c>
      <c r="J198" s="36">
        <f t="shared" ref="J198:J209" si="66">D198-I198</f>
        <v>3750</v>
      </c>
      <c r="K198" s="36">
        <f t="shared" ref="K198:K209" si="67">E198-I198</f>
        <v>3000</v>
      </c>
    </row>
    <row r="199" spans="1:11" hidden="1">
      <c r="A199" s="94" t="s">
        <v>128</v>
      </c>
      <c r="B199" s="41"/>
      <c r="C199" s="95" t="s">
        <v>134</v>
      </c>
      <c r="D199" s="36">
        <v>0</v>
      </c>
      <c r="E199" s="36">
        <v>0</v>
      </c>
      <c r="F199" s="36">
        <v>937</v>
      </c>
      <c r="G199" s="36"/>
      <c r="H199" s="36"/>
      <c r="I199" s="36">
        <v>0</v>
      </c>
      <c r="J199" s="36">
        <f>D199-I199</f>
        <v>0</v>
      </c>
      <c r="K199" s="36">
        <f>E199-I199</f>
        <v>0</v>
      </c>
    </row>
    <row r="200" spans="1:11" s="102" customFormat="1" ht="13.5">
      <c r="A200" s="103" t="s">
        <v>158</v>
      </c>
      <c r="B200" s="99"/>
      <c r="C200" s="42"/>
      <c r="D200" s="101">
        <f>SUM(D196:D199)</f>
        <v>3750</v>
      </c>
      <c r="E200" s="101">
        <f>SUM(E196:E199)</f>
        <v>3000</v>
      </c>
      <c r="F200" s="101">
        <f t="shared" ref="F200:K200" si="68">SUM(F196:F199)</f>
        <v>1874</v>
      </c>
      <c r="G200" s="101">
        <f t="shared" si="68"/>
        <v>0</v>
      </c>
      <c r="H200" s="101">
        <f t="shared" si="68"/>
        <v>0</v>
      </c>
      <c r="I200" s="101">
        <f t="shared" si="68"/>
        <v>0</v>
      </c>
      <c r="J200" s="101">
        <f t="shared" si="68"/>
        <v>3750</v>
      </c>
      <c r="K200" s="101">
        <f t="shared" si="68"/>
        <v>3000</v>
      </c>
    </row>
    <row r="201" spans="1:11">
      <c r="A201" s="108" t="s">
        <v>110</v>
      </c>
      <c r="B201" s="41"/>
      <c r="C201" s="95" t="s">
        <v>227</v>
      </c>
      <c r="D201" s="36">
        <v>174917</v>
      </c>
      <c r="E201" s="36">
        <f>134064.98-5381.98</f>
        <v>128683.00000000001</v>
      </c>
      <c r="F201" s="36"/>
      <c r="G201" s="36"/>
      <c r="H201" s="36"/>
      <c r="I201" s="36">
        <v>121351.35</v>
      </c>
      <c r="J201" s="36">
        <f t="shared" si="66"/>
        <v>53565.649999999994</v>
      </c>
      <c r="K201" s="36">
        <f t="shared" si="67"/>
        <v>7331.6500000000087</v>
      </c>
    </row>
    <row r="202" spans="1:11">
      <c r="A202" s="108" t="s">
        <v>111</v>
      </c>
      <c r="B202" s="41"/>
      <c r="C202" s="95" t="s">
        <v>228</v>
      </c>
      <c r="D202" s="36">
        <v>65197</v>
      </c>
      <c r="E202" s="36">
        <f>49970.73-2006.73</f>
        <v>47964</v>
      </c>
      <c r="F202" s="36"/>
      <c r="G202" s="36"/>
      <c r="H202" s="36"/>
      <c r="I202" s="36">
        <v>45230.54</v>
      </c>
      <c r="J202" s="36">
        <f t="shared" si="66"/>
        <v>19966.46</v>
      </c>
      <c r="K202" s="36">
        <f t="shared" si="67"/>
        <v>2733.4599999999991</v>
      </c>
    </row>
    <row r="203" spans="1:11" s="102" customFormat="1" ht="13.5">
      <c r="A203" s="69" t="s">
        <v>157</v>
      </c>
      <c r="B203" s="99"/>
      <c r="C203" s="42"/>
      <c r="D203" s="101">
        <f t="shared" ref="D203:K203" si="69">SUM(D201:D202)</f>
        <v>240114</v>
      </c>
      <c r="E203" s="101">
        <f>SUM(E201:E202)</f>
        <v>176647</v>
      </c>
      <c r="F203" s="101">
        <f t="shared" si="69"/>
        <v>0</v>
      </c>
      <c r="G203" s="101">
        <f t="shared" si="69"/>
        <v>0</v>
      </c>
      <c r="H203" s="101">
        <f t="shared" si="69"/>
        <v>0</v>
      </c>
      <c r="I203" s="101">
        <f t="shared" si="69"/>
        <v>166581.89000000001</v>
      </c>
      <c r="J203" s="101">
        <f t="shared" si="69"/>
        <v>73532.109999999986</v>
      </c>
      <c r="K203" s="101">
        <f t="shared" si="69"/>
        <v>10065.110000000008</v>
      </c>
    </row>
    <row r="204" spans="1:11" s="102" customFormat="1" ht="13.5">
      <c r="A204" s="69" t="s">
        <v>148</v>
      </c>
      <c r="B204" s="99"/>
      <c r="C204" s="42"/>
      <c r="D204" s="101">
        <f>D205+D206+D210+D211+D212</f>
        <v>747342</v>
      </c>
      <c r="E204" s="101">
        <f>E205+E206+E210+E211+E212</f>
        <v>553727.41999999993</v>
      </c>
      <c r="F204" s="101">
        <f t="shared" ref="F204:K204" si="70">F205+F206+F210+F211+F212</f>
        <v>0</v>
      </c>
      <c r="G204" s="101">
        <f t="shared" si="70"/>
        <v>0</v>
      </c>
      <c r="H204" s="101">
        <f t="shared" si="70"/>
        <v>0</v>
      </c>
      <c r="I204" s="101">
        <f t="shared" si="70"/>
        <v>425091.74000000005</v>
      </c>
      <c r="J204" s="101">
        <f t="shared" si="70"/>
        <v>322250.26</v>
      </c>
      <c r="K204" s="101">
        <f t="shared" si="70"/>
        <v>128635.68</v>
      </c>
    </row>
    <row r="205" spans="1:11">
      <c r="A205" s="94" t="s">
        <v>15</v>
      </c>
      <c r="B205" s="41"/>
      <c r="C205" s="95" t="s">
        <v>229</v>
      </c>
      <c r="D205" s="36">
        <v>8148</v>
      </c>
      <c r="E205" s="36">
        <v>6111</v>
      </c>
      <c r="F205" s="36"/>
      <c r="G205" s="36"/>
      <c r="H205" s="36"/>
      <c r="I205" s="36">
        <v>4890.53</v>
      </c>
      <c r="J205" s="36">
        <f t="shared" si="66"/>
        <v>3257.4700000000003</v>
      </c>
      <c r="K205" s="36">
        <f t="shared" si="67"/>
        <v>1220.4700000000003</v>
      </c>
    </row>
    <row r="206" spans="1:11">
      <c r="A206" s="94" t="s">
        <v>16</v>
      </c>
      <c r="B206" s="41"/>
      <c r="C206" s="95" t="s">
        <v>230</v>
      </c>
      <c r="D206" s="36">
        <v>5115</v>
      </c>
      <c r="E206" s="36">
        <v>4158</v>
      </c>
      <c r="F206" s="36"/>
      <c r="G206" s="36"/>
      <c r="H206" s="36"/>
      <c r="I206" s="36">
        <v>0</v>
      </c>
      <c r="J206" s="36">
        <f>D206-I206</f>
        <v>5115</v>
      </c>
      <c r="K206" s="36">
        <f>E206-I206</f>
        <v>4158</v>
      </c>
    </row>
    <row r="207" spans="1:11">
      <c r="A207" s="94" t="s">
        <v>32</v>
      </c>
      <c r="B207" s="41"/>
      <c r="C207" s="95" t="s">
        <v>231</v>
      </c>
      <c r="D207" s="36">
        <v>567624</v>
      </c>
      <c r="E207" s="36">
        <v>430293.66</v>
      </c>
      <c r="F207" s="36"/>
      <c r="G207" s="36"/>
      <c r="H207" s="36"/>
      <c r="I207" s="36">
        <v>356708.42</v>
      </c>
      <c r="J207" s="36">
        <f t="shared" si="66"/>
        <v>210915.58000000002</v>
      </c>
      <c r="K207" s="36">
        <f t="shared" si="67"/>
        <v>73585.239999999991</v>
      </c>
    </row>
    <row r="208" spans="1:11">
      <c r="A208" s="94" t="s">
        <v>28</v>
      </c>
      <c r="B208" s="41"/>
      <c r="C208" s="95" t="s">
        <v>232</v>
      </c>
      <c r="D208" s="36">
        <v>27000</v>
      </c>
      <c r="E208" s="36">
        <f>22761.58+1314.18</f>
        <v>24075.760000000002</v>
      </c>
      <c r="F208" s="36"/>
      <c r="G208" s="36"/>
      <c r="H208" s="36"/>
      <c r="I208" s="36">
        <v>24075.759999999998</v>
      </c>
      <c r="J208" s="36">
        <f t="shared" si="66"/>
        <v>2924.2400000000016</v>
      </c>
      <c r="K208" s="36">
        <f t="shared" si="67"/>
        <v>0</v>
      </c>
    </row>
    <row r="209" spans="1:11">
      <c r="A209" s="94" t="s">
        <v>29</v>
      </c>
      <c r="B209" s="41"/>
      <c r="C209" s="95" t="s">
        <v>233</v>
      </c>
      <c r="D209" s="36">
        <v>7765</v>
      </c>
      <c r="E209" s="36">
        <v>5823</v>
      </c>
      <c r="F209" s="36"/>
      <c r="G209" s="36"/>
      <c r="H209" s="36"/>
      <c r="I209" s="36">
        <v>3851.03</v>
      </c>
      <c r="J209" s="36">
        <f t="shared" si="66"/>
        <v>3913.97</v>
      </c>
      <c r="K209" s="36">
        <f t="shared" si="67"/>
        <v>1971.9699999999998</v>
      </c>
    </row>
    <row r="210" spans="1:11" s="102" customFormat="1" ht="13.5">
      <c r="A210" s="69" t="s">
        <v>17</v>
      </c>
      <c r="B210" s="99"/>
      <c r="C210" s="42"/>
      <c r="D210" s="101">
        <f t="shared" ref="D210:K210" si="71">SUM(D207:D209)</f>
        <v>602389</v>
      </c>
      <c r="E210" s="101">
        <f>SUM(E207:E209)</f>
        <v>460192.42</v>
      </c>
      <c r="F210" s="101">
        <f t="shared" si="71"/>
        <v>0</v>
      </c>
      <c r="G210" s="101">
        <f t="shared" si="71"/>
        <v>0</v>
      </c>
      <c r="H210" s="101">
        <f t="shared" si="71"/>
        <v>0</v>
      </c>
      <c r="I210" s="101">
        <f t="shared" si="71"/>
        <v>384635.21</v>
      </c>
      <c r="J210" s="101">
        <f t="shared" si="71"/>
        <v>217753.79</v>
      </c>
      <c r="K210" s="101">
        <f t="shared" si="71"/>
        <v>75557.209999999992</v>
      </c>
    </row>
    <row r="211" spans="1:11">
      <c r="A211" s="94" t="s">
        <v>18</v>
      </c>
      <c r="B211" s="41"/>
      <c r="C211" s="95" t="s">
        <v>234</v>
      </c>
      <c r="D211" s="36">
        <f>36000+55133+36000</f>
        <v>127133</v>
      </c>
      <c r="E211" s="36">
        <v>79849</v>
      </c>
      <c r="F211" s="36"/>
      <c r="G211" s="36"/>
      <c r="H211" s="36"/>
      <c r="I211" s="36">
        <v>35566</v>
      </c>
      <c r="J211" s="36">
        <f>D211-I211</f>
        <v>91567</v>
      </c>
      <c r="K211" s="36">
        <f>E211-I211</f>
        <v>44283</v>
      </c>
    </row>
    <row r="212" spans="1:11">
      <c r="A212" s="94" t="s">
        <v>19</v>
      </c>
      <c r="B212" s="41"/>
      <c r="C212" s="95" t="s">
        <v>235</v>
      </c>
      <c r="D212" s="36">
        <v>4557</v>
      </c>
      <c r="E212" s="36">
        <v>3417</v>
      </c>
      <c r="F212" s="36"/>
      <c r="G212" s="36"/>
      <c r="H212" s="36"/>
      <c r="I212" s="36">
        <v>0</v>
      </c>
      <c r="J212" s="36">
        <f>D212-I212</f>
        <v>4557</v>
      </c>
      <c r="K212" s="36">
        <f>E212-I212</f>
        <v>3417</v>
      </c>
    </row>
    <row r="213" spans="1:11">
      <c r="A213" s="94" t="s">
        <v>20</v>
      </c>
      <c r="B213" s="41"/>
      <c r="C213" s="95" t="s">
        <v>236</v>
      </c>
      <c r="D213" s="36">
        <v>19670</v>
      </c>
      <c r="E213" s="36">
        <v>16200</v>
      </c>
      <c r="F213" s="36"/>
      <c r="G213" s="36"/>
      <c r="H213" s="36"/>
      <c r="I213" s="36">
        <v>10334.719999999999</v>
      </c>
      <c r="J213" s="36">
        <f>D213-I213</f>
        <v>9335.2800000000007</v>
      </c>
      <c r="K213" s="36">
        <f>E213-I213</f>
        <v>5865.2800000000007</v>
      </c>
    </row>
    <row r="214" spans="1:11" hidden="1">
      <c r="A214" s="125" t="s">
        <v>21</v>
      </c>
      <c r="B214" s="41"/>
      <c r="C214" s="95" t="s">
        <v>135</v>
      </c>
      <c r="D214" s="36"/>
      <c r="E214" s="36"/>
      <c r="F214" s="36"/>
      <c r="G214" s="36"/>
      <c r="H214" s="36"/>
      <c r="I214" s="36"/>
      <c r="J214" s="36">
        <f>D214-I214</f>
        <v>0</v>
      </c>
      <c r="K214" s="36">
        <f>E214-I214</f>
        <v>0</v>
      </c>
    </row>
    <row r="215" spans="1:11">
      <c r="A215" s="69" t="s">
        <v>166</v>
      </c>
      <c r="B215" s="41"/>
      <c r="C215" s="95" t="s">
        <v>237</v>
      </c>
      <c r="D215" s="36">
        <v>8437</v>
      </c>
      <c r="E215" s="36">
        <v>6337</v>
      </c>
      <c r="F215" s="36"/>
      <c r="G215" s="36"/>
      <c r="H215" s="36"/>
      <c r="I215" s="36">
        <v>0</v>
      </c>
      <c r="J215" s="36">
        <f>D215-I215</f>
        <v>8437</v>
      </c>
      <c r="K215" s="36">
        <f>E215-I215</f>
        <v>6337</v>
      </c>
    </row>
    <row r="216" spans="1:11">
      <c r="A216" s="69"/>
      <c r="B216" s="41"/>
      <c r="C216" s="95"/>
      <c r="D216" s="36"/>
      <c r="E216" s="36"/>
      <c r="F216" s="36"/>
      <c r="G216" s="36"/>
      <c r="H216" s="36"/>
      <c r="I216" s="36"/>
      <c r="J216" s="36"/>
      <c r="K216" s="36"/>
    </row>
    <row r="217" spans="1:11" s="40" customFormat="1" ht="13.5">
      <c r="A217" s="137" t="s">
        <v>279</v>
      </c>
      <c r="B217" s="39"/>
      <c r="C217" s="27"/>
      <c r="D217" s="28">
        <f>D218+D221</f>
        <v>20204</v>
      </c>
      <c r="E217" s="28">
        <f>E218+E221</f>
        <v>20204</v>
      </c>
      <c r="F217" s="28">
        <f t="shared" ref="F217:K217" si="72">F218+F221</f>
        <v>0</v>
      </c>
      <c r="G217" s="28">
        <f t="shared" si="72"/>
        <v>0</v>
      </c>
      <c r="H217" s="28">
        <f t="shared" si="72"/>
        <v>0</v>
      </c>
      <c r="I217" s="28">
        <f t="shared" si="72"/>
        <v>11088.62</v>
      </c>
      <c r="J217" s="28">
        <f t="shared" si="72"/>
        <v>9115.3799999999992</v>
      </c>
      <c r="K217" s="28">
        <f t="shared" si="72"/>
        <v>9115.3799999999992</v>
      </c>
    </row>
    <row r="218" spans="1:11" ht="13.5">
      <c r="A218" s="94" t="s">
        <v>25</v>
      </c>
      <c r="B218" s="99"/>
      <c r="C218" s="95" t="s">
        <v>445</v>
      </c>
      <c r="D218" s="36">
        <v>15518</v>
      </c>
      <c r="E218" s="36">
        <v>15518</v>
      </c>
      <c r="F218" s="36"/>
      <c r="G218" s="36"/>
      <c r="H218" s="36"/>
      <c r="I218" s="36">
        <v>8516.61</v>
      </c>
      <c r="J218" s="36">
        <f>D218-I218</f>
        <v>7001.3899999999994</v>
      </c>
      <c r="K218" s="36">
        <f>E218-I218</f>
        <v>7001.3899999999994</v>
      </c>
    </row>
    <row r="219" spans="1:11">
      <c r="A219" s="108" t="s">
        <v>110</v>
      </c>
      <c r="B219" s="41"/>
      <c r="C219" s="95" t="s">
        <v>446</v>
      </c>
      <c r="D219" s="36">
        <v>3414</v>
      </c>
      <c r="E219" s="36">
        <v>3414</v>
      </c>
      <c r="F219" s="36"/>
      <c r="G219" s="36"/>
      <c r="H219" s="36"/>
      <c r="I219" s="36">
        <v>1873.65</v>
      </c>
      <c r="J219" s="36">
        <f>D219-I219</f>
        <v>1540.35</v>
      </c>
      <c r="K219" s="36">
        <f>E219-I219</f>
        <v>1540.35</v>
      </c>
    </row>
    <row r="220" spans="1:11">
      <c r="A220" s="108" t="s">
        <v>111</v>
      </c>
      <c r="B220" s="41"/>
      <c r="C220" s="95" t="s">
        <v>274</v>
      </c>
      <c r="D220" s="36">
        <v>1272</v>
      </c>
      <c r="E220" s="36">
        <v>1272</v>
      </c>
      <c r="F220" s="36"/>
      <c r="G220" s="36"/>
      <c r="H220" s="36"/>
      <c r="I220" s="36">
        <v>698.36</v>
      </c>
      <c r="J220" s="36">
        <f>D220-I220</f>
        <v>573.64</v>
      </c>
      <c r="K220" s="36">
        <f>E220-I220</f>
        <v>573.64</v>
      </c>
    </row>
    <row r="221" spans="1:11" s="40" customFormat="1" ht="13.5">
      <c r="A221" s="69" t="s">
        <v>157</v>
      </c>
      <c r="B221" s="99"/>
      <c r="C221" s="42"/>
      <c r="D221" s="28">
        <f>SUM(D219:D220)</f>
        <v>4686</v>
      </c>
      <c r="E221" s="28">
        <f>SUM(E219:E220)</f>
        <v>4686</v>
      </c>
      <c r="F221" s="28">
        <f t="shared" ref="F221:K221" si="73">SUM(F219:F220)</f>
        <v>0</v>
      </c>
      <c r="G221" s="28">
        <f t="shared" si="73"/>
        <v>0</v>
      </c>
      <c r="H221" s="28">
        <f t="shared" si="73"/>
        <v>0</v>
      </c>
      <c r="I221" s="28">
        <f t="shared" si="73"/>
        <v>2572.0100000000002</v>
      </c>
      <c r="J221" s="28">
        <f t="shared" si="73"/>
        <v>2113.9899999999998</v>
      </c>
      <c r="K221" s="28">
        <f t="shared" si="73"/>
        <v>2113.9899999999998</v>
      </c>
    </row>
    <row r="222" spans="1:11" hidden="1">
      <c r="A222" s="108" t="s">
        <v>111</v>
      </c>
      <c r="B222" s="41"/>
      <c r="C222" s="95" t="s">
        <v>274</v>
      </c>
      <c r="D222" s="36">
        <v>1272</v>
      </c>
      <c r="E222" s="36">
        <v>1272</v>
      </c>
      <c r="F222" s="36"/>
      <c r="G222" s="36"/>
      <c r="H222" s="36"/>
      <c r="I222" s="36"/>
      <c r="J222" s="36">
        <f>D222-I222</f>
        <v>1272</v>
      </c>
      <c r="K222" s="36">
        <f>E222-I222</f>
        <v>1272</v>
      </c>
    </row>
    <row r="223" spans="1:11" s="102" customFormat="1" ht="13.5" hidden="1">
      <c r="A223" s="69" t="s">
        <v>157</v>
      </c>
      <c r="B223" s="99"/>
      <c r="C223" s="42"/>
      <c r="D223" s="101">
        <f t="shared" ref="D223:K223" si="74">SUM(D221:D222)</f>
        <v>5958</v>
      </c>
      <c r="E223" s="101">
        <f>SUM(E221:E222)</f>
        <v>5958</v>
      </c>
      <c r="F223" s="101">
        <f t="shared" si="74"/>
        <v>0</v>
      </c>
      <c r="G223" s="101">
        <f t="shared" si="74"/>
        <v>0</v>
      </c>
      <c r="H223" s="101">
        <f t="shared" si="74"/>
        <v>0</v>
      </c>
      <c r="I223" s="101">
        <f t="shared" si="74"/>
        <v>2572.0100000000002</v>
      </c>
      <c r="J223" s="101">
        <f t="shared" si="74"/>
        <v>3385.99</v>
      </c>
      <c r="K223" s="101">
        <f t="shared" si="74"/>
        <v>3385.99</v>
      </c>
    </row>
    <row r="224" spans="1:11" s="79" customFormat="1">
      <c r="A224" s="114"/>
      <c r="B224" s="78"/>
      <c r="C224" s="106"/>
      <c r="D224" s="45"/>
      <c r="E224" s="45"/>
      <c r="F224" s="45"/>
      <c r="G224" s="45"/>
      <c r="H224" s="45"/>
      <c r="I224" s="45"/>
      <c r="J224" s="45"/>
      <c r="K224" s="45"/>
    </row>
    <row r="225" spans="1:11" s="79" customFormat="1" ht="115.5" customHeight="1">
      <c r="A225" s="136" t="s">
        <v>168</v>
      </c>
      <c r="B225" s="78"/>
      <c r="C225" s="106"/>
      <c r="D225" s="45">
        <f>D226+D234+D240+D242+D247+D244+D245</f>
        <v>465890</v>
      </c>
      <c r="E225" s="45">
        <f t="shared" ref="E225:I225" si="75">E226+E234+E240+E242+E247+E244+E245</f>
        <v>342215.51</v>
      </c>
      <c r="F225" s="45" t="e">
        <f t="shared" si="75"/>
        <v>#REF!</v>
      </c>
      <c r="G225" s="45" t="e">
        <f t="shared" si="75"/>
        <v>#REF!</v>
      </c>
      <c r="H225" s="45" t="e">
        <f t="shared" si="75"/>
        <v>#REF!</v>
      </c>
      <c r="I225" s="45">
        <f t="shared" si="75"/>
        <v>317503.11</v>
      </c>
      <c r="J225" s="45">
        <f t="shared" ref="J225:K225" si="76">J226+J234+J240+J242+J247</f>
        <v>148386.89000000001</v>
      </c>
      <c r="K225" s="45">
        <f t="shared" si="76"/>
        <v>24712.399999999972</v>
      </c>
    </row>
    <row r="226" spans="1:11" ht="25.5">
      <c r="A226" s="69" t="s">
        <v>156</v>
      </c>
      <c r="B226" s="41"/>
      <c r="C226" s="95"/>
      <c r="D226" s="138">
        <f>D227+D230+D233</f>
        <v>410597</v>
      </c>
      <c r="E226" s="138">
        <f>E227+E230+E233</f>
        <v>300457.51</v>
      </c>
      <c r="F226" s="138" t="e">
        <f t="shared" ref="F226:K226" si="77">F227+F230+F233</f>
        <v>#REF!</v>
      </c>
      <c r="G226" s="138" t="e">
        <f t="shared" si="77"/>
        <v>#REF!</v>
      </c>
      <c r="H226" s="138" t="e">
        <f t="shared" si="77"/>
        <v>#REF!</v>
      </c>
      <c r="I226" s="138">
        <f t="shared" si="77"/>
        <v>300885.75</v>
      </c>
      <c r="J226" s="138">
        <f t="shared" si="77"/>
        <v>109711.24999999999</v>
      </c>
      <c r="K226" s="138">
        <f t="shared" si="77"/>
        <v>-428.24000000002707</v>
      </c>
    </row>
    <row r="227" spans="1:11" ht="13.5">
      <c r="A227" s="94" t="s">
        <v>25</v>
      </c>
      <c r="B227" s="99"/>
      <c r="C227" s="95" t="s">
        <v>238</v>
      </c>
      <c r="D227" s="36">
        <v>311473</v>
      </c>
      <c r="E227" s="36">
        <v>225795.58</v>
      </c>
      <c r="F227" s="36" t="e">
        <f>#REF!+#REF!+#REF!+#REF!+#REF!+#REF!+#REF!</f>
        <v>#REF!</v>
      </c>
      <c r="G227" s="36" t="e">
        <f>#REF!+#REF!+#REF!+#REF!+#REF!+#REF!+#REF!</f>
        <v>#REF!</v>
      </c>
      <c r="H227" s="36" t="e">
        <f>#REF!+#REF!+#REF!+#REF!+#REF!+#REF!+#REF!</f>
        <v>#REF!</v>
      </c>
      <c r="I227" s="36">
        <v>231095.14</v>
      </c>
      <c r="J227" s="36">
        <f>D227-I227</f>
        <v>80377.859999999986</v>
      </c>
      <c r="K227" s="36">
        <f>E227-I227</f>
        <v>-5299.5600000000268</v>
      </c>
    </row>
    <row r="228" spans="1:11" ht="38.25">
      <c r="A228" s="94" t="s">
        <v>26</v>
      </c>
      <c r="B228" s="41"/>
      <c r="C228" s="95" t="s">
        <v>239</v>
      </c>
      <c r="D228" s="36">
        <v>0</v>
      </c>
      <c r="E228" s="36">
        <v>0</v>
      </c>
      <c r="F228" s="36" t="e">
        <f>#REF!</f>
        <v>#REF!</v>
      </c>
      <c r="G228" s="36" t="e">
        <f>#REF!</f>
        <v>#REF!</v>
      </c>
      <c r="H228" s="36" t="e">
        <f>#REF!</f>
        <v>#REF!</v>
      </c>
      <c r="I228" s="36">
        <v>0</v>
      </c>
      <c r="J228" s="36">
        <f>D228-I228</f>
        <v>0</v>
      </c>
      <c r="K228" s="36">
        <f>E228-I228</f>
        <v>0</v>
      </c>
    </row>
    <row r="229" spans="1:11" ht="38.25">
      <c r="A229" s="94" t="s">
        <v>27</v>
      </c>
      <c r="B229" s="41"/>
      <c r="C229" s="95" t="s">
        <v>240</v>
      </c>
      <c r="D229" s="36">
        <v>2000</v>
      </c>
      <c r="E229" s="36">
        <v>1500</v>
      </c>
      <c r="F229" s="36" t="e">
        <f>#REF!</f>
        <v>#REF!</v>
      </c>
      <c r="G229" s="36" t="e">
        <f>#REF!</f>
        <v>#REF!</v>
      </c>
      <c r="H229" s="36" t="e">
        <f>#REF!</f>
        <v>#REF!</v>
      </c>
      <c r="I229" s="36">
        <v>0</v>
      </c>
      <c r="J229" s="36">
        <f>D229-I229</f>
        <v>2000</v>
      </c>
      <c r="K229" s="36">
        <f>E229-I229</f>
        <v>1500</v>
      </c>
    </row>
    <row r="230" spans="1:11" s="139" customFormat="1" ht="13.5">
      <c r="A230" s="103" t="s">
        <v>158</v>
      </c>
      <c r="B230" s="99"/>
      <c r="C230" s="42"/>
      <c r="D230" s="28">
        <f>SUM(D228:D229)</f>
        <v>2000</v>
      </c>
      <c r="E230" s="28">
        <f>SUM(E228:E229)</f>
        <v>1500</v>
      </c>
      <c r="F230" s="28" t="e">
        <f t="shared" ref="F230:K230" si="78">SUM(F228:F229)</f>
        <v>#REF!</v>
      </c>
      <c r="G230" s="28" t="e">
        <f t="shared" si="78"/>
        <v>#REF!</v>
      </c>
      <c r="H230" s="28" t="e">
        <f t="shared" si="78"/>
        <v>#REF!</v>
      </c>
      <c r="I230" s="28">
        <f t="shared" si="78"/>
        <v>0</v>
      </c>
      <c r="J230" s="28">
        <f t="shared" si="78"/>
        <v>2000</v>
      </c>
      <c r="K230" s="28">
        <f t="shared" si="78"/>
        <v>1500</v>
      </c>
    </row>
    <row r="231" spans="1:11">
      <c r="A231" s="108" t="s">
        <v>110</v>
      </c>
      <c r="B231" s="41"/>
      <c r="C231" s="95" t="s">
        <v>241</v>
      </c>
      <c r="D231" s="36">
        <v>70124</v>
      </c>
      <c r="E231" s="36">
        <v>51197.21</v>
      </c>
      <c r="F231" s="36" t="e">
        <f>#REF!+#REF!+#REF!+#REF!+#REF!+#REF!</f>
        <v>#REF!</v>
      </c>
      <c r="G231" s="36" t="e">
        <f>#REF!+#REF!+#REF!+#REF!+#REF!+#REF!</f>
        <v>#REF!</v>
      </c>
      <c r="H231" s="36" t="e">
        <f>#REF!+#REF!+#REF!+#REF!+#REF!+#REF!</f>
        <v>#REF!</v>
      </c>
      <c r="I231" s="36">
        <v>50841.5</v>
      </c>
      <c r="J231" s="36">
        <f>D231-I231</f>
        <v>19282.5</v>
      </c>
      <c r="K231" s="36">
        <f>E231-I231</f>
        <v>355.70999999999913</v>
      </c>
    </row>
    <row r="232" spans="1:11">
      <c r="A232" s="108" t="s">
        <v>111</v>
      </c>
      <c r="B232" s="41"/>
      <c r="C232" s="95" t="s">
        <v>242</v>
      </c>
      <c r="D232" s="36">
        <v>27000</v>
      </c>
      <c r="E232" s="36">
        <v>21964.720000000001</v>
      </c>
      <c r="F232" s="36" t="e">
        <f>#REF!+#REF!+#REF!+#REF!+#REF!+#REF!</f>
        <v>#REF!</v>
      </c>
      <c r="G232" s="36" t="e">
        <f>#REF!+#REF!+#REF!+#REF!+#REF!+#REF!</f>
        <v>#REF!</v>
      </c>
      <c r="H232" s="36" t="e">
        <f>#REF!+#REF!+#REF!+#REF!+#REF!+#REF!</f>
        <v>#REF!</v>
      </c>
      <c r="I232" s="36">
        <v>18949.11</v>
      </c>
      <c r="J232" s="36">
        <f>D232-I232</f>
        <v>8050.8899999999994</v>
      </c>
      <c r="K232" s="36">
        <f>E232-I232</f>
        <v>3015.6100000000006</v>
      </c>
    </row>
    <row r="233" spans="1:11" s="40" customFormat="1" ht="13.5">
      <c r="A233" s="69" t="s">
        <v>157</v>
      </c>
      <c r="B233" s="99"/>
      <c r="C233" s="42"/>
      <c r="D233" s="28">
        <f>SUM(D231:D232)</f>
        <v>97124</v>
      </c>
      <c r="E233" s="28">
        <f>SUM(E231:E232)</f>
        <v>73161.929999999993</v>
      </c>
      <c r="F233" s="28" t="e">
        <f t="shared" ref="F233:K233" si="79">SUM(F231:F232)</f>
        <v>#REF!</v>
      </c>
      <c r="G233" s="28" t="e">
        <f t="shared" si="79"/>
        <v>#REF!</v>
      </c>
      <c r="H233" s="28" t="e">
        <f t="shared" si="79"/>
        <v>#REF!</v>
      </c>
      <c r="I233" s="28">
        <f t="shared" si="79"/>
        <v>69790.61</v>
      </c>
      <c r="J233" s="28">
        <f t="shared" si="79"/>
        <v>27333.39</v>
      </c>
      <c r="K233" s="28">
        <f t="shared" si="79"/>
        <v>3371.3199999999997</v>
      </c>
    </row>
    <row r="234" spans="1:11" s="40" customFormat="1" ht="13.5">
      <c r="A234" s="69" t="s">
        <v>148</v>
      </c>
      <c r="B234" s="99"/>
      <c r="C234" s="42"/>
      <c r="D234" s="28">
        <f t="shared" ref="D234:K234" si="80">D235+D236+D239+D238</f>
        <v>44722</v>
      </c>
      <c r="E234" s="28">
        <f>E235+E236+E239+E238</f>
        <v>33433</v>
      </c>
      <c r="F234" s="28" t="e">
        <f t="shared" si="80"/>
        <v>#REF!</v>
      </c>
      <c r="G234" s="28" t="e">
        <f t="shared" si="80"/>
        <v>#REF!</v>
      </c>
      <c r="H234" s="28" t="e">
        <f t="shared" si="80"/>
        <v>#REF!</v>
      </c>
      <c r="I234" s="28">
        <f t="shared" si="80"/>
        <v>15250</v>
      </c>
      <c r="J234" s="28">
        <f t="shared" si="80"/>
        <v>29472</v>
      </c>
      <c r="K234" s="28">
        <f t="shared" si="80"/>
        <v>18183</v>
      </c>
    </row>
    <row r="235" spans="1:11">
      <c r="A235" s="94" t="s">
        <v>15</v>
      </c>
      <c r="B235" s="41"/>
      <c r="C235" s="95" t="s">
        <v>243</v>
      </c>
      <c r="D235" s="36">
        <v>35300</v>
      </c>
      <c r="E235" s="36">
        <v>26475</v>
      </c>
      <c r="F235" s="36" t="e">
        <f>#REF!</f>
        <v>#REF!</v>
      </c>
      <c r="G235" s="36" t="e">
        <f>#REF!</f>
        <v>#REF!</v>
      </c>
      <c r="H235" s="36" t="e">
        <f>#REF!</f>
        <v>#REF!</v>
      </c>
      <c r="I235" s="36">
        <v>15250</v>
      </c>
      <c r="J235" s="36">
        <f t="shared" ref="J235:J242" si="81">D235-I235</f>
        <v>20050</v>
      </c>
      <c r="K235" s="36">
        <f t="shared" ref="K235:K242" si="82">E235-I235</f>
        <v>11225</v>
      </c>
    </row>
    <row r="236" spans="1:11">
      <c r="A236" s="94" t="s">
        <v>16</v>
      </c>
      <c r="B236" s="41"/>
      <c r="C236" s="95" t="s">
        <v>244</v>
      </c>
      <c r="D236" s="36">
        <v>958</v>
      </c>
      <c r="E236" s="36">
        <v>958</v>
      </c>
      <c r="F236" s="36" t="e">
        <f>#REF!</f>
        <v>#REF!</v>
      </c>
      <c r="G236" s="36" t="e">
        <f>#REF!</f>
        <v>#REF!</v>
      </c>
      <c r="H236" s="36" t="e">
        <f>#REF!</f>
        <v>#REF!</v>
      </c>
      <c r="I236" s="36">
        <v>0</v>
      </c>
      <c r="J236" s="36">
        <f t="shared" si="81"/>
        <v>958</v>
      </c>
      <c r="K236" s="36">
        <f t="shared" si="82"/>
        <v>958</v>
      </c>
    </row>
    <row r="237" spans="1:11" hidden="1">
      <c r="A237" s="94" t="s">
        <v>18</v>
      </c>
      <c r="B237" s="41"/>
      <c r="C237" s="95" t="s">
        <v>136</v>
      </c>
      <c r="D237" s="36">
        <v>0</v>
      </c>
      <c r="E237" s="36">
        <v>0</v>
      </c>
      <c r="F237" s="36" t="e">
        <f>#REF!+#REF!+#REF!</f>
        <v>#REF!</v>
      </c>
      <c r="G237" s="36" t="e">
        <f>#REF!+#REF!+#REF!</f>
        <v>#REF!</v>
      </c>
      <c r="H237" s="36" t="e">
        <f>#REF!+#REF!+#REF!</f>
        <v>#REF!</v>
      </c>
      <c r="I237" s="36">
        <v>0</v>
      </c>
      <c r="J237" s="36">
        <f t="shared" si="81"/>
        <v>0</v>
      </c>
      <c r="K237" s="36">
        <f t="shared" si="82"/>
        <v>0</v>
      </c>
    </row>
    <row r="238" spans="1:11">
      <c r="A238" s="94" t="s">
        <v>18</v>
      </c>
      <c r="B238" s="41"/>
      <c r="C238" s="95" t="s">
        <v>278</v>
      </c>
      <c r="D238" s="36">
        <v>0</v>
      </c>
      <c r="E238" s="36">
        <v>0</v>
      </c>
      <c r="F238" s="36" t="e">
        <f>#REF!</f>
        <v>#REF!</v>
      </c>
      <c r="G238" s="36" t="e">
        <f>#REF!</f>
        <v>#REF!</v>
      </c>
      <c r="H238" s="36" t="e">
        <f>#REF!</f>
        <v>#REF!</v>
      </c>
      <c r="I238" s="36">
        <v>0</v>
      </c>
      <c r="J238" s="36">
        <f>D238-I238</f>
        <v>0</v>
      </c>
      <c r="K238" s="36">
        <f>E238-I238</f>
        <v>0</v>
      </c>
    </row>
    <row r="239" spans="1:11">
      <c r="A239" s="94" t="s">
        <v>19</v>
      </c>
      <c r="B239" s="41"/>
      <c r="C239" s="95" t="s">
        <v>245</v>
      </c>
      <c r="D239" s="36">
        <v>8464</v>
      </c>
      <c r="E239" s="36">
        <v>6000</v>
      </c>
      <c r="F239" s="36" t="e">
        <f>#REF!</f>
        <v>#REF!</v>
      </c>
      <c r="G239" s="36" t="e">
        <f>#REF!</f>
        <v>#REF!</v>
      </c>
      <c r="H239" s="36" t="e">
        <f>#REF!</f>
        <v>#REF!</v>
      </c>
      <c r="I239" s="36">
        <v>0</v>
      </c>
      <c r="J239" s="36">
        <f t="shared" si="81"/>
        <v>8464</v>
      </c>
      <c r="K239" s="36">
        <f t="shared" si="82"/>
        <v>6000</v>
      </c>
    </row>
    <row r="240" spans="1:11">
      <c r="A240" s="94" t="s">
        <v>20</v>
      </c>
      <c r="B240" s="41"/>
      <c r="C240" s="95" t="s">
        <v>246</v>
      </c>
      <c r="D240" s="36">
        <v>3500</v>
      </c>
      <c r="E240" s="36">
        <v>2625</v>
      </c>
      <c r="F240" s="36" t="e">
        <f>#REF!</f>
        <v>#REF!</v>
      </c>
      <c r="G240" s="36" t="e">
        <f>#REF!</f>
        <v>#REF!</v>
      </c>
      <c r="H240" s="36" t="e">
        <f>#REF!</f>
        <v>#REF!</v>
      </c>
      <c r="I240" s="36">
        <v>167.36</v>
      </c>
      <c r="J240" s="36">
        <f t="shared" si="81"/>
        <v>3332.64</v>
      </c>
      <c r="K240" s="36">
        <f t="shared" si="82"/>
        <v>2457.64</v>
      </c>
    </row>
    <row r="241" spans="1:11" hidden="1">
      <c r="A241" s="125" t="s">
        <v>21</v>
      </c>
      <c r="B241" s="41"/>
      <c r="C241" s="95" t="s">
        <v>137</v>
      </c>
      <c r="D241" s="36"/>
      <c r="E241" s="36"/>
      <c r="F241" s="36"/>
      <c r="G241" s="36"/>
      <c r="H241" s="36"/>
      <c r="I241" s="36"/>
      <c r="J241" s="36">
        <f t="shared" si="81"/>
        <v>0</v>
      </c>
      <c r="K241" s="36">
        <f t="shared" si="82"/>
        <v>0</v>
      </c>
    </row>
    <row r="242" spans="1:11" ht="25.5">
      <c r="A242" s="98" t="s">
        <v>112</v>
      </c>
      <c r="B242" s="41"/>
      <c r="C242" s="95" t="s">
        <v>247</v>
      </c>
      <c r="D242" s="36">
        <v>5871</v>
      </c>
      <c r="E242" s="36">
        <v>4500</v>
      </c>
      <c r="F242" s="36" t="e">
        <f>#REF!</f>
        <v>#REF!</v>
      </c>
      <c r="G242" s="36" t="e">
        <f>#REF!</f>
        <v>#REF!</v>
      </c>
      <c r="H242" s="36" t="e">
        <f>#REF!</f>
        <v>#REF!</v>
      </c>
      <c r="I242" s="36">
        <v>0</v>
      </c>
      <c r="J242" s="36">
        <f t="shared" si="81"/>
        <v>5871</v>
      </c>
      <c r="K242" s="36">
        <f t="shared" si="82"/>
        <v>4500</v>
      </c>
    </row>
    <row r="243" spans="1:11">
      <c r="A243" s="98"/>
      <c r="B243" s="41"/>
      <c r="C243" s="95"/>
      <c r="D243" s="36"/>
      <c r="E243" s="36"/>
      <c r="F243" s="36"/>
      <c r="G243" s="36"/>
      <c r="H243" s="36"/>
      <c r="I243" s="36"/>
      <c r="J243" s="36"/>
      <c r="K243" s="36"/>
    </row>
    <row r="244" spans="1:11">
      <c r="A244" s="94" t="s">
        <v>19</v>
      </c>
      <c r="B244" s="41"/>
      <c r="C244" s="95" t="s">
        <v>439</v>
      </c>
      <c r="D244" s="36">
        <v>450</v>
      </c>
      <c r="E244" s="36">
        <v>450</v>
      </c>
      <c r="F244" s="36"/>
      <c r="G244" s="36"/>
      <c r="H244" s="36"/>
      <c r="I244" s="36">
        <v>450</v>
      </c>
      <c r="J244" s="36">
        <f t="shared" ref="J244" si="83">D244-I244</f>
        <v>0</v>
      </c>
      <c r="K244" s="36">
        <f t="shared" ref="K244" si="84">E244-I244</f>
        <v>0</v>
      </c>
    </row>
    <row r="245" spans="1:11">
      <c r="A245" s="125" t="s">
        <v>21</v>
      </c>
      <c r="B245" s="41"/>
      <c r="C245" s="95" t="s">
        <v>438</v>
      </c>
      <c r="D245" s="36">
        <v>750</v>
      </c>
      <c r="E245" s="36">
        <v>750</v>
      </c>
      <c r="F245" s="36"/>
      <c r="G245" s="36"/>
      <c r="H245" s="36"/>
      <c r="I245" s="36">
        <v>750</v>
      </c>
      <c r="J245" s="36">
        <f t="shared" ref="J245" si="85">D245-I245</f>
        <v>0</v>
      </c>
      <c r="K245" s="36">
        <f t="shared" ref="K245" si="86">E245-I245</f>
        <v>0</v>
      </c>
    </row>
    <row r="246" spans="1:11">
      <c r="A246" s="98"/>
      <c r="B246" s="41"/>
      <c r="C246" s="95"/>
      <c r="D246" s="36"/>
      <c r="E246" s="36"/>
      <c r="F246" s="36"/>
      <c r="G246" s="36"/>
      <c r="H246" s="36"/>
      <c r="I246" s="36"/>
      <c r="J246" s="36"/>
      <c r="K246" s="36"/>
    </row>
    <row r="247" spans="1:11" s="40" customFormat="1" ht="13.5" hidden="1">
      <c r="A247" s="137" t="s">
        <v>279</v>
      </c>
      <c r="B247" s="39"/>
      <c r="C247" s="27"/>
      <c r="D247" s="28">
        <f>D248+D251</f>
        <v>0</v>
      </c>
      <c r="E247" s="28">
        <f>E248+E251</f>
        <v>0</v>
      </c>
      <c r="F247" s="28">
        <f t="shared" ref="F247:K247" si="87">F248+F251</f>
        <v>0</v>
      </c>
      <c r="G247" s="28">
        <f t="shared" si="87"/>
        <v>0</v>
      </c>
      <c r="H247" s="28">
        <f t="shared" si="87"/>
        <v>0</v>
      </c>
      <c r="I247" s="28">
        <f t="shared" si="87"/>
        <v>0</v>
      </c>
      <c r="J247" s="28">
        <f t="shared" si="87"/>
        <v>0</v>
      </c>
      <c r="K247" s="28">
        <f t="shared" si="87"/>
        <v>0</v>
      </c>
    </row>
    <row r="248" spans="1:11" ht="13.5" hidden="1">
      <c r="A248" s="94" t="s">
        <v>25</v>
      </c>
      <c r="B248" s="99"/>
      <c r="C248" s="95" t="s">
        <v>275</v>
      </c>
      <c r="D248" s="36"/>
      <c r="E248" s="36"/>
      <c r="F248" s="36"/>
      <c r="G248" s="36"/>
      <c r="H248" s="36"/>
      <c r="I248" s="36">
        <v>0</v>
      </c>
      <c r="J248" s="36">
        <f>D248-I248</f>
        <v>0</v>
      </c>
      <c r="K248" s="36">
        <f>E248-I248</f>
        <v>0</v>
      </c>
    </row>
    <row r="249" spans="1:11" hidden="1">
      <c r="A249" s="108" t="s">
        <v>110</v>
      </c>
      <c r="B249" s="41"/>
      <c r="C249" s="95" t="s">
        <v>276</v>
      </c>
      <c r="D249" s="36"/>
      <c r="E249" s="36"/>
      <c r="F249" s="36"/>
      <c r="G249" s="36"/>
      <c r="H249" s="36"/>
      <c r="I249" s="36">
        <v>0</v>
      </c>
      <c r="J249" s="36">
        <f>D249-I249</f>
        <v>0</v>
      </c>
      <c r="K249" s="36">
        <f>E249-I249</f>
        <v>0</v>
      </c>
    </row>
    <row r="250" spans="1:11" hidden="1">
      <c r="A250" s="108" t="s">
        <v>111</v>
      </c>
      <c r="B250" s="41"/>
      <c r="C250" s="95" t="s">
        <v>277</v>
      </c>
      <c r="D250" s="36"/>
      <c r="E250" s="36"/>
      <c r="F250" s="36"/>
      <c r="G250" s="36"/>
      <c r="H250" s="36"/>
      <c r="I250" s="36">
        <v>0</v>
      </c>
      <c r="J250" s="36">
        <f>D250-I250</f>
        <v>0</v>
      </c>
      <c r="K250" s="36">
        <f>E250-I250</f>
        <v>0</v>
      </c>
    </row>
    <row r="251" spans="1:11" s="40" customFormat="1" ht="13.5" hidden="1">
      <c r="A251" s="69" t="s">
        <v>157</v>
      </c>
      <c r="B251" s="99"/>
      <c r="C251" s="42"/>
      <c r="D251" s="28">
        <f>SUM(D249:D250)</f>
        <v>0</v>
      </c>
      <c r="E251" s="28">
        <f>SUM(E249:E250)</f>
        <v>0</v>
      </c>
      <c r="F251" s="28">
        <f t="shared" ref="F251:K251" si="88">SUM(F249:F250)</f>
        <v>0</v>
      </c>
      <c r="G251" s="28">
        <f t="shared" si="88"/>
        <v>0</v>
      </c>
      <c r="H251" s="28">
        <f t="shared" si="88"/>
        <v>0</v>
      </c>
      <c r="I251" s="28">
        <f t="shared" si="88"/>
        <v>0</v>
      </c>
      <c r="J251" s="28">
        <f t="shared" si="88"/>
        <v>0</v>
      </c>
      <c r="K251" s="28">
        <f t="shared" si="88"/>
        <v>0</v>
      </c>
    </row>
    <row r="252" spans="1:11">
      <c r="A252" s="43" t="s">
        <v>178</v>
      </c>
      <c r="B252" s="41"/>
      <c r="C252" s="44" t="s">
        <v>181</v>
      </c>
      <c r="D252" s="45">
        <f t="shared" ref="D252:I252" si="89">D253</f>
        <v>191350</v>
      </c>
      <c r="E252" s="45">
        <f t="shared" si="89"/>
        <v>182292.96</v>
      </c>
      <c r="F252" s="45">
        <f t="shared" si="89"/>
        <v>0</v>
      </c>
      <c r="G252" s="45">
        <f t="shared" si="89"/>
        <v>0</v>
      </c>
      <c r="H252" s="45">
        <f t="shared" si="89"/>
        <v>0</v>
      </c>
      <c r="I252" s="45">
        <f t="shared" si="89"/>
        <v>166435.52000000002</v>
      </c>
      <c r="J252" s="45">
        <f>J253</f>
        <v>24914.48</v>
      </c>
      <c r="K252" s="45">
        <f>K253</f>
        <v>15857.44</v>
      </c>
    </row>
    <row r="253" spans="1:11" s="79" customFormat="1" ht="18.75" customHeight="1">
      <c r="A253" s="140" t="s">
        <v>179</v>
      </c>
      <c r="B253" s="78"/>
      <c r="C253" s="44" t="s">
        <v>180</v>
      </c>
      <c r="D253" s="45">
        <f>D254+D255+D258+D259+D260</f>
        <v>191350</v>
      </c>
      <c r="E253" s="45">
        <f t="shared" ref="E253:K253" si="90">E254+E255+E258+E259+E260</f>
        <v>182292.96</v>
      </c>
      <c r="F253" s="45">
        <f t="shared" si="90"/>
        <v>0</v>
      </c>
      <c r="G253" s="45">
        <f t="shared" si="90"/>
        <v>0</v>
      </c>
      <c r="H253" s="45">
        <f t="shared" si="90"/>
        <v>0</v>
      </c>
      <c r="I253" s="45">
        <f t="shared" si="90"/>
        <v>166435.52000000002</v>
      </c>
      <c r="J253" s="45">
        <f t="shared" si="90"/>
        <v>24914.48</v>
      </c>
      <c r="K253" s="45">
        <f t="shared" si="90"/>
        <v>15857.44</v>
      </c>
    </row>
    <row r="254" spans="1:11" s="40" customFormat="1" ht="30" customHeight="1">
      <c r="A254" s="69" t="s">
        <v>156</v>
      </c>
      <c r="B254" s="41"/>
      <c r="C254" s="95" t="s">
        <v>248</v>
      </c>
      <c r="D254" s="36">
        <v>146966</v>
      </c>
      <c r="E254" s="36">
        <f>6785+121566+12702</f>
        <v>141053</v>
      </c>
      <c r="F254" s="36"/>
      <c r="G254" s="36"/>
      <c r="H254" s="36"/>
      <c r="I254" s="36">
        <v>128351</v>
      </c>
      <c r="J254" s="36">
        <f>D254-I254</f>
        <v>18615</v>
      </c>
      <c r="K254" s="36">
        <f>E254-I254</f>
        <v>12702</v>
      </c>
    </row>
    <row r="255" spans="1:11" s="40" customFormat="1" ht="30.75" hidden="1" customHeight="1">
      <c r="A255" s="94" t="s">
        <v>27</v>
      </c>
      <c r="B255" s="41"/>
      <c r="C255" s="95" t="s">
        <v>291</v>
      </c>
      <c r="D255" s="36">
        <v>0</v>
      </c>
      <c r="E255" s="36">
        <v>0</v>
      </c>
      <c r="F255" s="36"/>
      <c r="G255" s="36"/>
      <c r="H255" s="36"/>
      <c r="I255" s="36">
        <v>0</v>
      </c>
      <c r="J255" s="36">
        <f>D255-I255</f>
        <v>0</v>
      </c>
      <c r="K255" s="36">
        <f>E255-I255</f>
        <v>0</v>
      </c>
    </row>
    <row r="256" spans="1:11" s="40" customFormat="1" ht="18.75" customHeight="1">
      <c r="A256" s="108" t="s">
        <v>110</v>
      </c>
      <c r="B256" s="41"/>
      <c r="C256" s="95" t="s">
        <v>249</v>
      </c>
      <c r="D256" s="36">
        <v>32331</v>
      </c>
      <c r="E256" s="36">
        <f>1492.7+26744+2794</f>
        <v>31030.7</v>
      </c>
      <c r="F256" s="36"/>
      <c r="G256" s="36"/>
      <c r="H256" s="36"/>
      <c r="I256" s="36">
        <v>28236.7</v>
      </c>
      <c r="J256" s="36">
        <f>D256-I256</f>
        <v>4094.2999999999993</v>
      </c>
      <c r="K256" s="36">
        <f>E256-I256</f>
        <v>2794</v>
      </c>
    </row>
    <row r="257" spans="1:11" s="40" customFormat="1" ht="18.75" customHeight="1">
      <c r="A257" s="108" t="s">
        <v>111</v>
      </c>
      <c r="B257" s="41"/>
      <c r="C257" s="95" t="s">
        <v>250</v>
      </c>
      <c r="D257" s="36">
        <v>12053</v>
      </c>
      <c r="E257" s="36">
        <f>556.38+9291.44+361.44</f>
        <v>10209.26</v>
      </c>
      <c r="F257" s="36"/>
      <c r="G257" s="36"/>
      <c r="H257" s="36"/>
      <c r="I257" s="36">
        <v>9847.82</v>
      </c>
      <c r="J257" s="36">
        <f>D257-I257</f>
        <v>2205.1800000000003</v>
      </c>
      <c r="K257" s="36">
        <f>E257-I257</f>
        <v>361.44000000000051</v>
      </c>
    </row>
    <row r="258" spans="1:11" s="40" customFormat="1" ht="18.75" customHeight="1">
      <c r="A258" s="122" t="s">
        <v>273</v>
      </c>
      <c r="B258" s="39"/>
      <c r="C258" s="27"/>
      <c r="D258" s="28">
        <f>SUM(D256:D257)</f>
        <v>44384</v>
      </c>
      <c r="E258" s="28">
        <f>SUM(E256:E257)</f>
        <v>41239.96</v>
      </c>
      <c r="F258" s="28">
        <f t="shared" ref="F258:K258" si="91">SUM(F256:F257)</f>
        <v>0</v>
      </c>
      <c r="G258" s="28">
        <f t="shared" si="91"/>
        <v>0</v>
      </c>
      <c r="H258" s="28">
        <f t="shared" si="91"/>
        <v>0</v>
      </c>
      <c r="I258" s="28">
        <f t="shared" si="91"/>
        <v>38084.520000000004</v>
      </c>
      <c r="J258" s="28">
        <f t="shared" si="91"/>
        <v>6299.48</v>
      </c>
      <c r="K258" s="28">
        <f t="shared" si="91"/>
        <v>3155.4400000000005</v>
      </c>
    </row>
    <row r="259" spans="1:11" ht="15.75" hidden="1" customHeight="1">
      <c r="A259" s="141" t="s">
        <v>20</v>
      </c>
      <c r="B259" s="41"/>
      <c r="C259" s="95" t="s">
        <v>280</v>
      </c>
      <c r="D259" s="36">
        <v>0</v>
      </c>
      <c r="E259" s="36">
        <v>0</v>
      </c>
      <c r="F259" s="36"/>
      <c r="G259" s="36"/>
      <c r="H259" s="36"/>
      <c r="I259" s="36">
        <v>0</v>
      </c>
      <c r="J259" s="36">
        <f>D259-I259</f>
        <v>0</v>
      </c>
      <c r="K259" s="36">
        <f>E259-I259</f>
        <v>0</v>
      </c>
    </row>
    <row r="260" spans="1:11" s="40" customFormat="1" ht="18.75" hidden="1" customHeight="1">
      <c r="A260" s="141" t="s">
        <v>20</v>
      </c>
      <c r="B260" s="39"/>
      <c r="C260" s="95" t="s">
        <v>292</v>
      </c>
      <c r="D260" s="36">
        <v>0</v>
      </c>
      <c r="E260" s="36">
        <v>0</v>
      </c>
      <c r="F260" s="28"/>
      <c r="G260" s="28"/>
      <c r="H260" s="28"/>
      <c r="I260" s="36">
        <v>0</v>
      </c>
      <c r="J260" s="36">
        <f>D260-I260</f>
        <v>0</v>
      </c>
      <c r="K260" s="36">
        <f>E260-I260</f>
        <v>0</v>
      </c>
    </row>
    <row r="261" spans="1:11" s="146" customFormat="1" ht="18.75" customHeight="1">
      <c r="A261" s="142" t="s">
        <v>70</v>
      </c>
      <c r="B261" s="143"/>
      <c r="C261" s="144"/>
      <c r="D261" s="145"/>
      <c r="E261" s="145"/>
      <c r="F261" s="145"/>
      <c r="G261" s="145"/>
      <c r="H261" s="145"/>
      <c r="I261" s="145"/>
      <c r="J261" s="145"/>
      <c r="K261" s="145"/>
    </row>
    <row r="262" spans="1:11">
      <c r="A262" s="123" t="s">
        <v>14</v>
      </c>
      <c r="B262" s="41"/>
      <c r="C262" s="147" t="s">
        <v>71</v>
      </c>
      <c r="D262" s="36">
        <f t="shared" ref="D262:K262" si="92">D17+D45+D114</f>
        <v>1281783</v>
      </c>
      <c r="E262" s="36">
        <f t="shared" si="92"/>
        <v>994524.59999999986</v>
      </c>
      <c r="F262" s="36">
        <f t="shared" si="92"/>
        <v>0</v>
      </c>
      <c r="G262" s="36">
        <f t="shared" si="92"/>
        <v>0</v>
      </c>
      <c r="H262" s="36">
        <f t="shared" si="92"/>
        <v>0</v>
      </c>
      <c r="I262" s="36">
        <f t="shared" si="92"/>
        <v>963075.53999999992</v>
      </c>
      <c r="J262" s="36">
        <f t="shared" si="92"/>
        <v>318707.45999999996</v>
      </c>
      <c r="K262" s="36">
        <f t="shared" si="92"/>
        <v>31449.059999999907</v>
      </c>
    </row>
    <row r="263" spans="1:11">
      <c r="A263" s="123" t="s">
        <v>25</v>
      </c>
      <c r="B263" s="41"/>
      <c r="C263" s="147" t="s">
        <v>72</v>
      </c>
      <c r="D263" s="36">
        <f>D46+D174+D78</f>
        <v>1223266.3399999999</v>
      </c>
      <c r="E263" s="36">
        <f t="shared" ref="E263:K263" si="93">E46+E174+E78</f>
        <v>977088.62</v>
      </c>
      <c r="F263" s="36">
        <f t="shared" si="93"/>
        <v>0</v>
      </c>
      <c r="G263" s="36">
        <f t="shared" si="93"/>
        <v>0</v>
      </c>
      <c r="H263" s="36">
        <f t="shared" si="93"/>
        <v>0</v>
      </c>
      <c r="I263" s="36">
        <f t="shared" si="93"/>
        <v>943060.96</v>
      </c>
      <c r="J263" s="36">
        <f t="shared" si="93"/>
        <v>280205.37999999995</v>
      </c>
      <c r="K263" s="36">
        <f t="shared" si="93"/>
        <v>34027.659999999953</v>
      </c>
    </row>
    <row r="264" spans="1:11" s="102" customFormat="1" ht="13.5">
      <c r="A264" s="148" t="s">
        <v>89</v>
      </c>
      <c r="B264" s="99"/>
      <c r="C264" s="42"/>
      <c r="D264" s="101">
        <f>SUM(D262:D263)</f>
        <v>2505049.34</v>
      </c>
      <c r="E264" s="101">
        <f>SUM(E262:E263)</f>
        <v>1971613.2199999997</v>
      </c>
      <c r="F264" s="101">
        <f t="shared" ref="F264:K264" si="94">SUM(F262:F263)</f>
        <v>0</v>
      </c>
      <c r="G264" s="101">
        <f t="shared" si="94"/>
        <v>0</v>
      </c>
      <c r="H264" s="101">
        <f t="shared" si="94"/>
        <v>0</v>
      </c>
      <c r="I264" s="101">
        <f t="shared" si="94"/>
        <v>1906136.5</v>
      </c>
      <c r="J264" s="101">
        <f t="shared" si="94"/>
        <v>598912.83999999985</v>
      </c>
      <c r="K264" s="101">
        <f t="shared" si="94"/>
        <v>65476.719999999856</v>
      </c>
    </row>
    <row r="265" spans="1:11" ht="38.25">
      <c r="A265" s="123" t="s">
        <v>26</v>
      </c>
      <c r="B265" s="41"/>
      <c r="C265" s="147" t="s">
        <v>73</v>
      </c>
      <c r="D265" s="36">
        <f>D48+D175</f>
        <v>27764</v>
      </c>
      <c r="E265" s="36">
        <f t="shared" ref="E265:K265" si="95">E48+E175</f>
        <v>27764</v>
      </c>
      <c r="F265" s="36">
        <f t="shared" si="95"/>
        <v>0</v>
      </c>
      <c r="G265" s="36">
        <f t="shared" si="95"/>
        <v>0</v>
      </c>
      <c r="H265" s="36">
        <f t="shared" si="95"/>
        <v>0</v>
      </c>
      <c r="I265" s="36">
        <f t="shared" si="95"/>
        <v>-6494.4</v>
      </c>
      <c r="J265" s="36">
        <f t="shared" si="95"/>
        <v>34258.400000000001</v>
      </c>
      <c r="K265" s="36">
        <f t="shared" si="95"/>
        <v>34258.400000000001</v>
      </c>
    </row>
    <row r="266" spans="1:11" ht="30.75" customHeight="1">
      <c r="A266" s="123" t="s">
        <v>27</v>
      </c>
      <c r="B266" s="41"/>
      <c r="C266" s="147" t="s">
        <v>74</v>
      </c>
      <c r="D266" s="36">
        <f>D49+D116+D176</f>
        <v>33250</v>
      </c>
      <c r="E266" s="36">
        <f t="shared" ref="E266:K266" si="96">E49+E116+E176</f>
        <v>24625</v>
      </c>
      <c r="F266" s="36">
        <f t="shared" si="96"/>
        <v>0</v>
      </c>
      <c r="G266" s="36">
        <f t="shared" si="96"/>
        <v>0</v>
      </c>
      <c r="H266" s="36">
        <f t="shared" si="96"/>
        <v>0</v>
      </c>
      <c r="I266" s="36">
        <f t="shared" si="96"/>
        <v>7000</v>
      </c>
      <c r="J266" s="36">
        <f t="shared" si="96"/>
        <v>26250</v>
      </c>
      <c r="K266" s="36">
        <f t="shared" si="96"/>
        <v>17625</v>
      </c>
    </row>
    <row r="267" spans="1:11" ht="30.75" customHeight="1">
      <c r="A267" s="123" t="s">
        <v>20</v>
      </c>
      <c r="B267" s="41"/>
      <c r="C267" s="147" t="s">
        <v>460</v>
      </c>
      <c r="D267" s="36">
        <f>D50</f>
        <v>3095</v>
      </c>
      <c r="E267" s="36">
        <f t="shared" ref="E267:K267" si="97">E50</f>
        <v>3095</v>
      </c>
      <c r="F267" s="36">
        <f t="shared" si="97"/>
        <v>0</v>
      </c>
      <c r="G267" s="36">
        <f t="shared" si="97"/>
        <v>0</v>
      </c>
      <c r="H267" s="36">
        <f t="shared" si="97"/>
        <v>0</v>
      </c>
      <c r="I267" s="36">
        <f t="shared" si="97"/>
        <v>0</v>
      </c>
      <c r="J267" s="36">
        <f t="shared" si="97"/>
        <v>3095</v>
      </c>
      <c r="K267" s="36">
        <f t="shared" si="97"/>
        <v>3095</v>
      </c>
    </row>
    <row r="268" spans="1:11" s="102" customFormat="1" ht="13.5">
      <c r="A268" s="148" t="s">
        <v>90</v>
      </c>
      <c r="B268" s="99"/>
      <c r="C268" s="42"/>
      <c r="D268" s="101">
        <f t="shared" ref="D268:K268" si="98">SUM(D265:D267)</f>
        <v>64109</v>
      </c>
      <c r="E268" s="101">
        <f>SUM(E265:E267)</f>
        <v>55484</v>
      </c>
      <c r="F268" s="101">
        <f t="shared" si="98"/>
        <v>0</v>
      </c>
      <c r="G268" s="101">
        <f t="shared" si="98"/>
        <v>0</v>
      </c>
      <c r="H268" s="101">
        <f t="shared" si="98"/>
        <v>0</v>
      </c>
      <c r="I268" s="101">
        <f t="shared" si="98"/>
        <v>505.60000000000036</v>
      </c>
      <c r="J268" s="101">
        <f t="shared" si="98"/>
        <v>63603.4</v>
      </c>
      <c r="K268" s="101">
        <f t="shared" si="98"/>
        <v>54978.400000000001</v>
      </c>
    </row>
    <row r="269" spans="1:11">
      <c r="A269" s="108" t="s">
        <v>110</v>
      </c>
      <c r="B269" s="41"/>
      <c r="C269" s="147" t="s">
        <v>75</v>
      </c>
      <c r="D269" s="36">
        <f>D18+D52+D118+D178+D79</f>
        <v>552061.75</v>
      </c>
      <c r="E269" s="36">
        <f t="shared" ref="E269:K269" si="99">E18+E52+E118+E178+E79</f>
        <v>443916.21</v>
      </c>
      <c r="F269" s="36">
        <f t="shared" si="99"/>
        <v>0</v>
      </c>
      <c r="G269" s="36">
        <f t="shared" si="99"/>
        <v>0</v>
      </c>
      <c r="H269" s="36">
        <f t="shared" si="99"/>
        <v>0</v>
      </c>
      <c r="I269" s="36">
        <f t="shared" si="99"/>
        <v>423022.86</v>
      </c>
      <c r="J269" s="36">
        <f t="shared" si="99"/>
        <v>129038.89000000003</v>
      </c>
      <c r="K269" s="36">
        <f t="shared" si="99"/>
        <v>20893.35000000002</v>
      </c>
    </row>
    <row r="270" spans="1:11">
      <c r="A270" s="108" t="s">
        <v>111</v>
      </c>
      <c r="B270" s="41"/>
      <c r="C270" s="147" t="s">
        <v>76</v>
      </c>
      <c r="D270" s="36">
        <f>D19+D53+D119+D179+D80</f>
        <v>203500.24</v>
      </c>
      <c r="E270" s="36">
        <f t="shared" ref="E270:K270" si="100">E19+E53+E119+E179+E80</f>
        <v>161585.75</v>
      </c>
      <c r="F270" s="36">
        <f t="shared" si="100"/>
        <v>0</v>
      </c>
      <c r="G270" s="36">
        <f t="shared" si="100"/>
        <v>0</v>
      </c>
      <c r="H270" s="36">
        <f t="shared" si="100"/>
        <v>0</v>
      </c>
      <c r="I270" s="36">
        <f t="shared" si="100"/>
        <v>147850.84000000003</v>
      </c>
      <c r="J270" s="36">
        <f t="shared" si="100"/>
        <v>55649.399999999994</v>
      </c>
      <c r="K270" s="36">
        <f t="shared" si="100"/>
        <v>13734.910000000002</v>
      </c>
    </row>
    <row r="271" spans="1:11" s="102" customFormat="1" ht="13.5">
      <c r="A271" s="148" t="s">
        <v>93</v>
      </c>
      <c r="B271" s="99"/>
      <c r="C271" s="42"/>
      <c r="D271" s="101">
        <f t="shared" ref="D271:K271" si="101">SUM(D269:D270)</f>
        <v>755561.99</v>
      </c>
      <c r="E271" s="101">
        <f>SUM(E269:E270)</f>
        <v>605501.96</v>
      </c>
      <c r="F271" s="101">
        <f t="shared" si="101"/>
        <v>0</v>
      </c>
      <c r="G271" s="101">
        <f t="shared" si="101"/>
        <v>0</v>
      </c>
      <c r="H271" s="101">
        <f t="shared" si="101"/>
        <v>0</v>
      </c>
      <c r="I271" s="101">
        <f t="shared" si="101"/>
        <v>570873.69999999995</v>
      </c>
      <c r="J271" s="101">
        <f>SUM(J269:J270)</f>
        <v>184688.29000000004</v>
      </c>
      <c r="K271" s="101">
        <f t="shared" si="101"/>
        <v>34628.260000000024</v>
      </c>
    </row>
    <row r="272" spans="1:11" s="102" customFormat="1" ht="13.5">
      <c r="A272" s="148"/>
      <c r="B272" s="99"/>
      <c r="C272" s="42"/>
      <c r="D272" s="101">
        <f>D273+D274+D278+D280+D281</f>
        <v>2418581.4</v>
      </c>
      <c r="E272" s="101">
        <f>E273+E274+E278+E280+E281</f>
        <v>2030478.62</v>
      </c>
      <c r="F272" s="101">
        <f t="shared" ref="F272:K272" si="102">F273+F274+F278+F280+F281</f>
        <v>349059</v>
      </c>
      <c r="G272" s="101">
        <f t="shared" si="102"/>
        <v>0</v>
      </c>
      <c r="H272" s="101">
        <f t="shared" si="102"/>
        <v>0</v>
      </c>
      <c r="I272" s="101">
        <f t="shared" si="102"/>
        <v>1502689.97</v>
      </c>
      <c r="J272" s="101">
        <f t="shared" si="102"/>
        <v>915891.43</v>
      </c>
      <c r="K272" s="101">
        <f t="shared" si="102"/>
        <v>527788.64999999991</v>
      </c>
    </row>
    <row r="273" spans="1:11">
      <c r="A273" s="123" t="s">
        <v>15</v>
      </c>
      <c r="B273" s="41"/>
      <c r="C273" s="147" t="s">
        <v>268</v>
      </c>
      <c r="D273" s="36">
        <f t="shared" ref="D273:K273" si="103">D60+D186</f>
        <v>43856</v>
      </c>
      <c r="E273" s="36">
        <f t="shared" si="103"/>
        <v>33572.490000000005</v>
      </c>
      <c r="F273" s="36">
        <f t="shared" si="103"/>
        <v>0</v>
      </c>
      <c r="G273" s="36">
        <f t="shared" si="103"/>
        <v>0</v>
      </c>
      <c r="H273" s="36">
        <f t="shared" si="103"/>
        <v>0</v>
      </c>
      <c r="I273" s="36">
        <f t="shared" si="103"/>
        <v>23264.45</v>
      </c>
      <c r="J273" s="36">
        <f t="shared" si="103"/>
        <v>20591.55</v>
      </c>
      <c r="K273" s="36">
        <f t="shared" si="103"/>
        <v>10308.040000000001</v>
      </c>
    </row>
    <row r="274" spans="1:11">
      <c r="A274" s="123" t="s">
        <v>16</v>
      </c>
      <c r="B274" s="41"/>
      <c r="C274" s="147" t="s">
        <v>77</v>
      </c>
      <c r="D274" s="36">
        <f t="shared" ref="D274:K274" si="104">D56+D61+D124+D182</f>
        <v>54700</v>
      </c>
      <c r="E274" s="36">
        <f t="shared" si="104"/>
        <v>46466</v>
      </c>
      <c r="F274" s="36">
        <f t="shared" si="104"/>
        <v>0</v>
      </c>
      <c r="G274" s="36">
        <f t="shared" si="104"/>
        <v>0</v>
      </c>
      <c r="H274" s="36">
        <f t="shared" si="104"/>
        <v>0</v>
      </c>
      <c r="I274" s="36">
        <f t="shared" si="104"/>
        <v>37746</v>
      </c>
      <c r="J274" s="36">
        <f t="shared" si="104"/>
        <v>16954</v>
      </c>
      <c r="K274" s="36">
        <f t="shared" si="104"/>
        <v>8720</v>
      </c>
    </row>
    <row r="275" spans="1:11">
      <c r="A275" s="123" t="s">
        <v>32</v>
      </c>
      <c r="B275" s="41"/>
      <c r="C275" s="147" t="s">
        <v>78</v>
      </c>
      <c r="D275" s="36">
        <f>D62</f>
        <v>1173868</v>
      </c>
      <c r="E275" s="36">
        <f>E62</f>
        <v>936596</v>
      </c>
      <c r="F275" s="36">
        <f t="shared" ref="F275:K275" si="105">F62</f>
        <v>0</v>
      </c>
      <c r="G275" s="36">
        <f t="shared" si="105"/>
        <v>0</v>
      </c>
      <c r="H275" s="36">
        <f t="shared" si="105"/>
        <v>0</v>
      </c>
      <c r="I275" s="36">
        <f t="shared" si="105"/>
        <v>661697.91</v>
      </c>
      <c r="J275" s="36">
        <f t="shared" si="105"/>
        <v>512170.08999999997</v>
      </c>
      <c r="K275" s="36">
        <f t="shared" si="105"/>
        <v>274898.08999999997</v>
      </c>
    </row>
    <row r="276" spans="1:11">
      <c r="A276" s="123" t="s">
        <v>28</v>
      </c>
      <c r="B276" s="41"/>
      <c r="C276" s="147" t="s">
        <v>79</v>
      </c>
      <c r="D276" s="36">
        <f t="shared" ref="D276:K276" si="106">D63+D160</f>
        <v>419895</v>
      </c>
      <c r="E276" s="36">
        <f t="shared" si="106"/>
        <v>395994.04</v>
      </c>
      <c r="F276" s="36">
        <f t="shared" si="106"/>
        <v>0</v>
      </c>
      <c r="G276" s="36">
        <f t="shared" si="106"/>
        <v>0</v>
      </c>
      <c r="H276" s="36">
        <f t="shared" si="106"/>
        <v>0</v>
      </c>
      <c r="I276" s="36">
        <f t="shared" si="106"/>
        <v>317210.17</v>
      </c>
      <c r="J276" s="36">
        <f t="shared" si="106"/>
        <v>102684.83000000002</v>
      </c>
      <c r="K276" s="36">
        <f t="shared" si="106"/>
        <v>78783.87</v>
      </c>
    </row>
    <row r="277" spans="1:11">
      <c r="A277" s="123" t="s">
        <v>29</v>
      </c>
      <c r="B277" s="41"/>
      <c r="C277" s="147" t="s">
        <v>80</v>
      </c>
      <c r="D277" s="36">
        <f t="shared" ref="D277:K277" si="107">D64</f>
        <v>10978</v>
      </c>
      <c r="E277" s="36">
        <f>E64</f>
        <v>9898.0400000000009</v>
      </c>
      <c r="F277" s="36">
        <f t="shared" si="107"/>
        <v>3294</v>
      </c>
      <c r="G277" s="36">
        <f t="shared" si="107"/>
        <v>0</v>
      </c>
      <c r="H277" s="36">
        <f t="shared" si="107"/>
        <v>0</v>
      </c>
      <c r="I277" s="36">
        <f t="shared" si="107"/>
        <v>7944.82</v>
      </c>
      <c r="J277" s="36">
        <f t="shared" si="107"/>
        <v>3033.1800000000003</v>
      </c>
      <c r="K277" s="36">
        <f t="shared" si="107"/>
        <v>1953.2200000000012</v>
      </c>
    </row>
    <row r="278" spans="1:11" s="102" customFormat="1" ht="13.5">
      <c r="A278" s="148" t="s">
        <v>91</v>
      </c>
      <c r="B278" s="99"/>
      <c r="C278" s="42"/>
      <c r="D278" s="101">
        <f t="shared" ref="D278:K278" si="108">SUM(D275:D277)</f>
        <v>1604741</v>
      </c>
      <c r="E278" s="101">
        <f>SUM(E275:E277)</f>
        <v>1342488.08</v>
      </c>
      <c r="F278" s="101">
        <f t="shared" si="108"/>
        <v>3294</v>
      </c>
      <c r="G278" s="101">
        <f>SUM(G275:G277)</f>
        <v>0</v>
      </c>
      <c r="H278" s="101">
        <f>SUM(H275:H277)</f>
        <v>0</v>
      </c>
      <c r="I278" s="101">
        <f>SUM(I275:I277)</f>
        <v>986852.9</v>
      </c>
      <c r="J278" s="101">
        <f t="shared" si="108"/>
        <v>617888.1</v>
      </c>
      <c r="K278" s="101">
        <f t="shared" si="108"/>
        <v>355635.17999999993</v>
      </c>
    </row>
    <row r="279" spans="1:11" s="150" customFormat="1" hidden="1">
      <c r="A279" s="123" t="s">
        <v>19</v>
      </c>
      <c r="B279" s="149"/>
      <c r="C279" s="147" t="s">
        <v>114</v>
      </c>
      <c r="D279" s="36"/>
      <c r="E279" s="36"/>
      <c r="F279" s="36"/>
      <c r="G279" s="36"/>
      <c r="H279" s="36"/>
      <c r="I279" s="36"/>
      <c r="J279" s="36"/>
      <c r="K279" s="36"/>
    </row>
    <row r="280" spans="1:11">
      <c r="A280" s="123" t="s">
        <v>18</v>
      </c>
      <c r="B280" s="41"/>
      <c r="C280" s="147" t="s">
        <v>81</v>
      </c>
      <c r="D280" s="36">
        <f>D66+D126+D149+D151+D187+D153+D169</f>
        <v>373784.35000000003</v>
      </c>
      <c r="E280" s="36">
        <f t="shared" ref="E280:K280" si="109">E66+E126+E149+E151+E187+E153+E169</f>
        <v>312262.67000000004</v>
      </c>
      <c r="F280" s="36">
        <f t="shared" si="109"/>
        <v>166530</v>
      </c>
      <c r="G280" s="36">
        <f t="shared" si="109"/>
        <v>0</v>
      </c>
      <c r="H280" s="36">
        <f t="shared" si="109"/>
        <v>0</v>
      </c>
      <c r="I280" s="36">
        <f t="shared" si="109"/>
        <v>204190.11</v>
      </c>
      <c r="J280" s="36">
        <f t="shared" si="109"/>
        <v>169594.23999999999</v>
      </c>
      <c r="K280" s="36">
        <f t="shared" si="109"/>
        <v>108072.56</v>
      </c>
    </row>
    <row r="281" spans="1:11">
      <c r="A281" s="123" t="s">
        <v>19</v>
      </c>
      <c r="B281" s="41"/>
      <c r="C281" s="147" t="s">
        <v>267</v>
      </c>
      <c r="D281" s="36">
        <f>D57+D67+D87+D122+D128+D138+D139+D150+D152+D154+D161+D164+D166+D167+D183+D188</f>
        <v>341500.05</v>
      </c>
      <c r="E281" s="36">
        <f t="shared" ref="E281:K281" si="110">E57+E67+E87+E122+E128+E138+E139+E150+E152+E154+E161+E164+E166+E167+E183+E188</f>
        <v>295689.38</v>
      </c>
      <c r="F281" s="36">
        <f t="shared" si="110"/>
        <v>179235</v>
      </c>
      <c r="G281" s="36">
        <f t="shared" si="110"/>
        <v>0</v>
      </c>
      <c r="H281" s="36">
        <f t="shared" si="110"/>
        <v>0</v>
      </c>
      <c r="I281" s="36">
        <f t="shared" si="110"/>
        <v>250636.51</v>
      </c>
      <c r="J281" s="36">
        <f t="shared" si="110"/>
        <v>90863.540000000008</v>
      </c>
      <c r="K281" s="36">
        <f t="shared" si="110"/>
        <v>45052.87</v>
      </c>
    </row>
    <row r="282" spans="1:11" ht="25.5">
      <c r="A282" s="94" t="s">
        <v>22</v>
      </c>
      <c r="B282" s="41"/>
      <c r="C282" s="147" t="s">
        <v>86</v>
      </c>
      <c r="D282" s="36">
        <f>D91</f>
        <v>5402</v>
      </c>
      <c r="E282" s="36">
        <f t="shared" ref="E282:K282" si="111">E91</f>
        <v>5402</v>
      </c>
      <c r="F282" s="36">
        <f t="shared" si="111"/>
        <v>0</v>
      </c>
      <c r="G282" s="36">
        <f t="shared" si="111"/>
        <v>0</v>
      </c>
      <c r="H282" s="36">
        <f t="shared" si="111"/>
        <v>0</v>
      </c>
      <c r="I282" s="36">
        <f t="shared" si="111"/>
        <v>0</v>
      </c>
      <c r="J282" s="36">
        <f t="shared" si="111"/>
        <v>5402</v>
      </c>
      <c r="K282" s="36">
        <f t="shared" si="111"/>
        <v>5402</v>
      </c>
    </row>
    <row r="283" spans="1:11">
      <c r="A283" s="123" t="s">
        <v>20</v>
      </c>
      <c r="B283" s="41"/>
      <c r="C283" s="147" t="s">
        <v>82</v>
      </c>
      <c r="D283" s="36">
        <f t="shared" ref="D283:E283" si="112">D68+D105+D75+D74+D93</f>
        <v>104440.9</v>
      </c>
      <c r="E283" s="36">
        <f t="shared" si="112"/>
        <v>93035.9</v>
      </c>
      <c r="F283" s="36">
        <f t="shared" ref="F283:K283" si="113">F68+F105+F75+F74</f>
        <v>0</v>
      </c>
      <c r="G283" s="36">
        <f t="shared" si="113"/>
        <v>0</v>
      </c>
      <c r="H283" s="36">
        <f t="shared" si="113"/>
        <v>0</v>
      </c>
      <c r="I283" s="36">
        <f>I68+I105+I75+I74+I93</f>
        <v>87272.82</v>
      </c>
      <c r="J283" s="36">
        <f t="shared" si="113"/>
        <v>17168.080000000002</v>
      </c>
      <c r="K283" s="36">
        <f t="shared" si="113"/>
        <v>5763.08</v>
      </c>
    </row>
    <row r="284" spans="1:11">
      <c r="A284" s="123" t="s">
        <v>21</v>
      </c>
      <c r="B284" s="41"/>
      <c r="C284" s="147" t="s">
        <v>83</v>
      </c>
      <c r="D284" s="36">
        <f t="shared" ref="D284:K284" si="114">D130+D70</f>
        <v>247627.36</v>
      </c>
      <c r="E284" s="36">
        <f t="shared" si="114"/>
        <v>247627.36</v>
      </c>
      <c r="F284" s="36">
        <f t="shared" si="114"/>
        <v>0</v>
      </c>
      <c r="G284" s="36">
        <f t="shared" si="114"/>
        <v>0</v>
      </c>
      <c r="H284" s="36">
        <f t="shared" si="114"/>
        <v>0</v>
      </c>
      <c r="I284" s="36">
        <f t="shared" si="114"/>
        <v>220991</v>
      </c>
      <c r="J284" s="36">
        <f t="shared" si="114"/>
        <v>26636.359999999986</v>
      </c>
      <c r="K284" s="36">
        <f t="shared" si="114"/>
        <v>26636.359999999986</v>
      </c>
    </row>
    <row r="285" spans="1:11" ht="25.5">
      <c r="A285" s="123" t="s">
        <v>31</v>
      </c>
      <c r="B285" s="41"/>
      <c r="C285" s="147" t="s">
        <v>84</v>
      </c>
      <c r="D285" s="36">
        <f>D71</f>
        <v>140046</v>
      </c>
      <c r="E285" s="36">
        <f>E71</f>
        <v>105046</v>
      </c>
      <c r="F285" s="36">
        <f t="shared" ref="F285:K285" si="115">F71</f>
        <v>0</v>
      </c>
      <c r="G285" s="36">
        <f t="shared" si="115"/>
        <v>0</v>
      </c>
      <c r="H285" s="36">
        <f t="shared" si="115"/>
        <v>0</v>
      </c>
      <c r="I285" s="36">
        <f t="shared" si="115"/>
        <v>68958.100000000006</v>
      </c>
      <c r="J285" s="36">
        <f>J71</f>
        <v>71087.899999999994</v>
      </c>
      <c r="K285" s="36">
        <f t="shared" si="115"/>
        <v>36087.899999999994</v>
      </c>
    </row>
    <row r="286" spans="1:11" ht="25.5">
      <c r="A286" s="151" t="s">
        <v>30</v>
      </c>
      <c r="B286" s="41"/>
      <c r="C286" s="147" t="s">
        <v>85</v>
      </c>
      <c r="D286" s="36">
        <f t="shared" ref="D286:K286" si="116">D72+D109+D131+D190+D163</f>
        <v>22463</v>
      </c>
      <c r="E286" s="36">
        <f t="shared" si="116"/>
        <v>15848</v>
      </c>
      <c r="F286" s="36">
        <f t="shared" si="116"/>
        <v>0</v>
      </c>
      <c r="G286" s="36">
        <f t="shared" si="116"/>
        <v>0</v>
      </c>
      <c r="H286" s="36">
        <f t="shared" si="116"/>
        <v>0</v>
      </c>
      <c r="I286" s="36">
        <f t="shared" si="116"/>
        <v>2100</v>
      </c>
      <c r="J286" s="36">
        <f t="shared" si="116"/>
        <v>20363</v>
      </c>
      <c r="K286" s="36">
        <f t="shared" si="116"/>
        <v>13748</v>
      </c>
    </row>
    <row r="287" spans="1:11" s="102" customFormat="1" ht="13.5">
      <c r="A287" s="148" t="s">
        <v>92</v>
      </c>
      <c r="B287" s="99"/>
      <c r="C287" s="42"/>
      <c r="D287" s="101">
        <f>SUM(D285:D286)</f>
        <v>162509</v>
      </c>
      <c r="E287" s="101">
        <f>SUM(E285:E286)</f>
        <v>120894</v>
      </c>
      <c r="F287" s="101">
        <f t="shared" ref="F287:K287" si="117">SUM(F285:F286)</f>
        <v>0</v>
      </c>
      <c r="G287" s="101">
        <f t="shared" si="117"/>
        <v>0</v>
      </c>
      <c r="H287" s="101">
        <f t="shared" si="117"/>
        <v>0</v>
      </c>
      <c r="I287" s="101">
        <f t="shared" si="117"/>
        <v>71058.100000000006</v>
      </c>
      <c r="J287" s="101">
        <f t="shared" si="117"/>
        <v>91450.9</v>
      </c>
      <c r="K287" s="101">
        <f t="shared" si="117"/>
        <v>49835.899999999994</v>
      </c>
    </row>
    <row r="288" spans="1:11" s="102" customFormat="1" ht="13.5">
      <c r="A288" s="148"/>
      <c r="B288" s="99"/>
      <c r="C288" s="42" t="s">
        <v>113</v>
      </c>
      <c r="D288" s="101">
        <f t="shared" ref="D288:K288" si="118">D253+D192</f>
        <v>2399833</v>
      </c>
      <c r="E288" s="101">
        <f t="shared" si="118"/>
        <v>1817304.3699999999</v>
      </c>
      <c r="F288" s="101" t="e">
        <f t="shared" si="118"/>
        <v>#REF!</v>
      </c>
      <c r="G288" s="101" t="e">
        <f t="shared" si="118"/>
        <v>#REF!</v>
      </c>
      <c r="H288" s="101" t="e">
        <f t="shared" si="118"/>
        <v>#REF!</v>
      </c>
      <c r="I288" s="101">
        <f t="shared" si="118"/>
        <v>1640115.54</v>
      </c>
      <c r="J288" s="101">
        <f t="shared" si="118"/>
        <v>759717.46000000008</v>
      </c>
      <c r="K288" s="101">
        <f t="shared" si="118"/>
        <v>177188.83000000002</v>
      </c>
    </row>
    <row r="289" spans="1:11" s="154" customFormat="1" ht="24" customHeight="1">
      <c r="A289" s="152" t="s">
        <v>23</v>
      </c>
      <c r="B289" s="117"/>
      <c r="C289" s="44"/>
      <c r="D289" s="153">
        <f>D264+D268+D271+D272+D282+D283+D284+D287+D288</f>
        <v>8663113.9900000021</v>
      </c>
      <c r="E289" s="153">
        <f>E264+E268+E271+E272+E282+E283+E284+E287+E288</f>
        <v>6947341.4300000006</v>
      </c>
      <c r="F289" s="153" t="e">
        <f t="shared" ref="F289:K289" si="119">F264+F268+F271+F272+F282+F283+F284+F287+F288</f>
        <v>#REF!</v>
      </c>
      <c r="G289" s="153" t="e">
        <f t="shared" si="119"/>
        <v>#REF!</v>
      </c>
      <c r="H289" s="153" t="e">
        <f t="shared" si="119"/>
        <v>#REF!</v>
      </c>
      <c r="I289" s="153">
        <f t="shared" si="119"/>
        <v>5999643.2299999995</v>
      </c>
      <c r="J289" s="153">
        <f t="shared" si="119"/>
        <v>2663470.7599999998</v>
      </c>
      <c r="K289" s="153">
        <f t="shared" si="119"/>
        <v>947698.19999999972</v>
      </c>
    </row>
    <row r="290" spans="1:11">
      <c r="D290" s="155"/>
      <c r="E290" s="156"/>
      <c r="F290" s="156"/>
    </row>
  </sheetData>
  <mergeCells count="8">
    <mergeCell ref="E11:E12"/>
    <mergeCell ref="I11:I12"/>
    <mergeCell ref="J11:K11"/>
    <mergeCell ref="A11:A12"/>
    <mergeCell ref="B11:B12"/>
    <mergeCell ref="C11:C12"/>
    <mergeCell ref="D11:D12"/>
    <mergeCell ref="F11:F12"/>
  </mergeCells>
  <phoneticPr fontId="0" type="noConversion"/>
  <pageMargins left="0.19685039370078741" right="0.19685039370078741" top="0.39370078740157483" bottom="0" header="0.19685039370078741" footer="0"/>
  <pageSetup paperSize="9" scale="93" fitToHeight="0" orientation="landscape" r:id="rId1"/>
  <headerFooter alignWithMargins="0">
    <oddFooter>&amp;RСтраница &amp;P из &amp;N</oddFooter>
  </headerFooter>
  <rowBreaks count="2" manualBreakCount="2">
    <brk id="228" max="10" man="1"/>
    <brk id="2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topLeftCell="A11" zoomScaleSheetLayoutView="100" workbookViewId="0">
      <selection activeCell="H20" sqref="H20"/>
    </sheetView>
  </sheetViews>
  <sheetFormatPr defaultRowHeight="12.75"/>
  <cols>
    <col min="1" max="1" width="32.85546875" style="3" customWidth="1"/>
    <col min="2" max="2" width="6.5703125" style="4" customWidth="1"/>
    <col min="3" max="3" width="25.7109375" style="2" customWidth="1"/>
    <col min="4" max="4" width="15.7109375" style="5" customWidth="1"/>
    <col min="5" max="5" width="14.28515625" style="5" customWidth="1"/>
    <col min="6" max="8" width="9.140625" style="5"/>
    <col min="9" max="9" width="16" style="5" customWidth="1"/>
    <col min="10" max="10" width="0" style="5" hidden="1" customWidth="1"/>
    <col min="11" max="11" width="11.7109375" bestFit="1" customWidth="1"/>
    <col min="12" max="12" width="10.28515625" customWidth="1"/>
    <col min="13" max="13" width="11.28515625" bestFit="1" customWidth="1"/>
  </cols>
  <sheetData>
    <row r="1" spans="1:14" s="7" customFormat="1" ht="30" hidden="1" customHeight="1">
      <c r="C1" s="7" t="s">
        <v>0</v>
      </c>
    </row>
    <row r="2" spans="1:14" s="7" customFormat="1" hidden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4" s="7" customFormat="1" hidden="1">
      <c r="A3" s="8"/>
      <c r="B3" s="8"/>
      <c r="C3" s="8" t="s">
        <v>1</v>
      </c>
      <c r="D3" s="8"/>
      <c r="E3" s="8"/>
      <c r="F3" s="8"/>
      <c r="G3" s="8"/>
      <c r="H3" s="8"/>
      <c r="I3" s="8"/>
      <c r="J3" s="8"/>
    </row>
    <row r="4" spans="1:14" s="7" customFormat="1" hidden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4" s="7" customFormat="1" hidden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4" s="7" customFormat="1" hidden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</row>
    <row r="7" spans="1:14" s="7" customFormat="1" hidden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</row>
    <row r="8" spans="1:14" s="7" customFormat="1">
      <c r="A8" s="8"/>
      <c r="B8" s="8"/>
      <c r="C8" s="8"/>
      <c r="D8" s="8"/>
      <c r="E8" s="8"/>
      <c r="F8" s="8"/>
      <c r="G8" s="8"/>
      <c r="H8" s="8"/>
      <c r="I8" s="8"/>
      <c r="J8" s="8"/>
      <c r="K8" s="11" t="s">
        <v>289</v>
      </c>
    </row>
    <row r="9" spans="1:14" s="7" customFormat="1">
      <c r="A9" s="174" t="s">
        <v>37</v>
      </c>
      <c r="B9" s="174"/>
      <c r="C9" s="174"/>
      <c r="D9" s="174"/>
      <c r="E9" s="174"/>
      <c r="F9" s="174"/>
      <c r="G9" s="175" t="s">
        <v>13</v>
      </c>
      <c r="H9" s="175"/>
      <c r="I9" s="25"/>
      <c r="J9" s="8"/>
    </row>
    <row r="10" spans="1:14" s="6" customFormat="1">
      <c r="A10" s="176" t="s">
        <v>38</v>
      </c>
      <c r="B10" s="178" t="s">
        <v>39</v>
      </c>
      <c r="C10" s="176" t="s">
        <v>40</v>
      </c>
      <c r="D10" s="180" t="s">
        <v>41</v>
      </c>
      <c r="E10" s="173" t="s">
        <v>5</v>
      </c>
      <c r="F10" s="173"/>
      <c r="G10" s="173"/>
      <c r="H10" s="173"/>
      <c r="I10" s="173" t="s">
        <v>6</v>
      </c>
      <c r="J10" s="1"/>
    </row>
    <row r="11" spans="1:14" s="9" customFormat="1" ht="60" customHeight="1">
      <c r="A11" s="177"/>
      <c r="B11" s="179"/>
      <c r="C11" s="177"/>
      <c r="D11" s="181"/>
      <c r="E11" s="20" t="s">
        <v>42</v>
      </c>
      <c r="F11" s="21" t="s">
        <v>43</v>
      </c>
      <c r="G11" s="21" t="s">
        <v>44</v>
      </c>
      <c r="H11" s="21" t="s">
        <v>45</v>
      </c>
      <c r="I11" s="173"/>
      <c r="J11" s="10"/>
      <c r="K11" s="9" t="s">
        <v>130</v>
      </c>
      <c r="L11" s="9" t="s">
        <v>87</v>
      </c>
    </row>
    <row r="12" spans="1:14" s="9" customFormat="1" ht="11.25">
      <c r="A12" s="22" t="s">
        <v>46</v>
      </c>
      <c r="B12" s="23">
        <v>2</v>
      </c>
      <c r="C12" s="23" t="s">
        <v>47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10"/>
      <c r="K12" s="38">
        <v>53250.99</v>
      </c>
      <c r="L12" s="37">
        <f>K12+доходы!F18-'Расходы бюджета'!I289</f>
        <v>420816.25000000093</v>
      </c>
    </row>
    <row r="13" spans="1:14" s="9" customFormat="1" ht="33.75" customHeight="1">
      <c r="A13" s="15" t="s">
        <v>48</v>
      </c>
      <c r="B13" s="12">
        <v>500</v>
      </c>
      <c r="C13" s="13"/>
      <c r="D13" s="24">
        <f>D23-D24</f>
        <v>-53250.990000002086</v>
      </c>
      <c r="E13" s="24">
        <f>(E23)+E24</f>
        <v>-367565.26000000071</v>
      </c>
      <c r="F13" s="14" t="s">
        <v>50</v>
      </c>
      <c r="G13" s="14" t="s">
        <v>50</v>
      </c>
      <c r="H13" s="14" t="s">
        <v>50</v>
      </c>
      <c r="I13" s="14">
        <f>D13+E13</f>
        <v>-420816.25000000279</v>
      </c>
      <c r="J13" s="46"/>
      <c r="K13" s="160"/>
      <c r="L13" s="160"/>
    </row>
    <row r="14" spans="1:14">
      <c r="A14" s="15" t="s">
        <v>51</v>
      </c>
      <c r="B14" s="12"/>
      <c r="C14" s="13"/>
      <c r="D14" s="24"/>
      <c r="E14" s="14"/>
      <c r="F14" s="14"/>
      <c r="G14" s="14"/>
      <c r="H14" s="14"/>
      <c r="I14" s="14"/>
      <c r="J14" s="16"/>
      <c r="L14" s="30"/>
      <c r="M14" s="30"/>
    </row>
    <row r="15" spans="1:14" ht="22.5">
      <c r="A15" s="15" t="s">
        <v>52</v>
      </c>
      <c r="B15" s="12">
        <v>520</v>
      </c>
      <c r="C15" s="13" t="s">
        <v>49</v>
      </c>
      <c r="D15" s="24" t="s">
        <v>50</v>
      </c>
      <c r="E15" s="14"/>
      <c r="F15" s="14" t="s">
        <v>50</v>
      </c>
      <c r="G15" s="14" t="s">
        <v>50</v>
      </c>
      <c r="H15" s="14" t="s">
        <v>50</v>
      </c>
      <c r="I15" s="14" t="s">
        <v>50</v>
      </c>
      <c r="K15" s="29"/>
      <c r="L15" s="34"/>
      <c r="M15" s="31"/>
      <c r="N15" s="32"/>
    </row>
    <row r="16" spans="1:14">
      <c r="A16" s="15" t="s">
        <v>53</v>
      </c>
      <c r="B16" s="12"/>
      <c r="C16" s="13"/>
      <c r="D16" s="24"/>
      <c r="E16" s="14"/>
      <c r="F16" s="14"/>
      <c r="G16" s="14"/>
      <c r="H16" s="14"/>
      <c r="I16" s="14"/>
      <c r="M16" s="30"/>
    </row>
    <row r="17" spans="1:13" ht="22.5">
      <c r="A17" s="15" t="s">
        <v>54</v>
      </c>
      <c r="B17" s="12">
        <v>620</v>
      </c>
      <c r="C17" s="13" t="s">
        <v>49</v>
      </c>
      <c r="D17" s="24" t="s">
        <v>50</v>
      </c>
      <c r="E17" s="14"/>
      <c r="F17" s="14" t="s">
        <v>50</v>
      </c>
      <c r="G17" s="14" t="s">
        <v>50</v>
      </c>
      <c r="H17" s="14" t="s">
        <v>50</v>
      </c>
      <c r="I17" s="14" t="s">
        <v>50</v>
      </c>
      <c r="K17" s="35"/>
      <c r="L17" s="26"/>
      <c r="M17" s="33"/>
    </row>
    <row r="18" spans="1:13">
      <c r="A18" s="15" t="s">
        <v>55</v>
      </c>
      <c r="B18" s="12"/>
      <c r="C18" s="13"/>
      <c r="D18" s="24"/>
      <c r="E18" s="14"/>
      <c r="F18" s="14"/>
      <c r="G18" s="14"/>
      <c r="H18" s="14"/>
      <c r="I18" s="14"/>
    </row>
    <row r="19" spans="1:13">
      <c r="A19" s="15" t="s">
        <v>56</v>
      </c>
      <c r="B19" s="12">
        <v>700</v>
      </c>
      <c r="C19" s="13"/>
      <c r="D19" s="24" t="s">
        <v>50</v>
      </c>
      <c r="E19" s="14"/>
      <c r="F19" s="14" t="s">
        <v>50</v>
      </c>
      <c r="G19" s="14" t="s">
        <v>50</v>
      </c>
      <c r="H19" s="14" t="s">
        <v>50</v>
      </c>
      <c r="I19" s="14" t="s">
        <v>49</v>
      </c>
      <c r="K19" s="35"/>
    </row>
    <row r="20" spans="1:13" ht="22.5">
      <c r="A20" s="15" t="s">
        <v>57</v>
      </c>
      <c r="B20" s="12">
        <v>800</v>
      </c>
      <c r="C20" s="13" t="s">
        <v>49</v>
      </c>
      <c r="D20" s="24" t="s">
        <v>49</v>
      </c>
      <c r="E20" s="14"/>
      <c r="F20" s="14" t="s">
        <v>50</v>
      </c>
      <c r="G20" s="14" t="s">
        <v>50</v>
      </c>
      <c r="H20" s="14" t="s">
        <v>50</v>
      </c>
      <c r="I20" s="14" t="s">
        <v>49</v>
      </c>
      <c r="K20" s="30"/>
    </row>
    <row r="21" spans="1:13" ht="45">
      <c r="A21" s="15" t="s">
        <v>58</v>
      </c>
      <c r="B21" s="12">
        <v>810</v>
      </c>
      <c r="C21" s="13" t="s">
        <v>49</v>
      </c>
      <c r="D21" s="24" t="s">
        <v>49</v>
      </c>
      <c r="E21" s="24">
        <f>E23+E24</f>
        <v>-367565.26000000071</v>
      </c>
      <c r="F21" s="14" t="s">
        <v>50</v>
      </c>
      <c r="G21" s="14" t="s">
        <v>49</v>
      </c>
      <c r="H21" s="14" t="s">
        <v>50</v>
      </c>
      <c r="I21" s="14" t="s">
        <v>49</v>
      </c>
    </row>
    <row r="22" spans="1:13">
      <c r="A22" s="15" t="s">
        <v>53</v>
      </c>
      <c r="B22" s="12"/>
      <c r="C22" s="13"/>
      <c r="D22" s="24"/>
      <c r="E22" s="14"/>
      <c r="F22" s="14"/>
      <c r="G22" s="14"/>
      <c r="H22" s="14"/>
      <c r="I22" s="14"/>
    </row>
    <row r="23" spans="1:13" ht="29.25" customHeight="1">
      <c r="A23" s="15" t="s">
        <v>59</v>
      </c>
      <c r="B23" s="12">
        <v>811</v>
      </c>
      <c r="C23" s="13" t="s">
        <v>285</v>
      </c>
      <c r="D23" s="24">
        <f>доходы!D18</f>
        <v>8609863</v>
      </c>
      <c r="E23" s="24">
        <f>-доходы!F18</f>
        <v>-6367208.4900000002</v>
      </c>
      <c r="F23" s="14" t="s">
        <v>49</v>
      </c>
      <c r="G23" s="14" t="s">
        <v>49</v>
      </c>
      <c r="H23" s="14" t="s">
        <v>50</v>
      </c>
      <c r="I23" s="14" t="s">
        <v>49</v>
      </c>
      <c r="K23" s="26"/>
    </row>
    <row r="24" spans="1:13" ht="22.5">
      <c r="A24" s="15" t="s">
        <v>60</v>
      </c>
      <c r="B24" s="12">
        <v>812</v>
      </c>
      <c r="C24" s="13" t="s">
        <v>286</v>
      </c>
      <c r="D24" s="24">
        <f>'Расходы бюджета'!D289</f>
        <v>8663113.9900000021</v>
      </c>
      <c r="E24" s="24">
        <f>'Расходы бюджета'!I289</f>
        <v>5999643.2299999995</v>
      </c>
      <c r="F24" s="14" t="s">
        <v>50</v>
      </c>
      <c r="G24" s="14" t="s">
        <v>49</v>
      </c>
      <c r="H24" s="14" t="s">
        <v>50</v>
      </c>
      <c r="I24" s="14" t="s">
        <v>49</v>
      </c>
      <c r="K24" s="33"/>
    </row>
    <row r="25" spans="1:13" ht="22.5">
      <c r="A25" s="15" t="s">
        <v>61</v>
      </c>
      <c r="B25" s="12">
        <v>820</v>
      </c>
      <c r="C25" s="13" t="s">
        <v>49</v>
      </c>
      <c r="D25" s="14" t="s">
        <v>49</v>
      </c>
      <c r="E25" s="14"/>
      <c r="F25" s="14" t="s">
        <v>50</v>
      </c>
      <c r="G25" s="14" t="s">
        <v>50</v>
      </c>
      <c r="H25" s="14" t="s">
        <v>50</v>
      </c>
      <c r="I25" s="14" t="s">
        <v>49</v>
      </c>
    </row>
    <row r="26" spans="1:13">
      <c r="A26" s="15" t="s">
        <v>62</v>
      </c>
      <c r="B26" s="12"/>
      <c r="C26" s="13"/>
      <c r="D26" s="14"/>
      <c r="E26" s="14"/>
      <c r="F26" s="14"/>
      <c r="G26" s="14"/>
      <c r="H26" s="14"/>
      <c r="I26" s="14"/>
    </row>
    <row r="27" spans="1:13" ht="22.5">
      <c r="A27" s="15" t="s">
        <v>63</v>
      </c>
      <c r="B27" s="12">
        <v>821</v>
      </c>
      <c r="C27" s="13" t="s">
        <v>49</v>
      </c>
      <c r="D27" s="14" t="s">
        <v>49</v>
      </c>
      <c r="E27" s="14" t="s">
        <v>49</v>
      </c>
      <c r="F27" s="14" t="s">
        <v>50</v>
      </c>
      <c r="G27" s="14" t="s">
        <v>50</v>
      </c>
      <c r="H27" s="14" t="s">
        <v>50</v>
      </c>
      <c r="I27" s="14" t="s">
        <v>49</v>
      </c>
    </row>
    <row r="28" spans="1:13" ht="22.5">
      <c r="A28" s="15" t="s">
        <v>64</v>
      </c>
      <c r="B28" s="12">
        <v>822</v>
      </c>
      <c r="C28" s="13" t="s">
        <v>49</v>
      </c>
      <c r="D28" s="14" t="s">
        <v>49</v>
      </c>
      <c r="E28" s="14" t="s">
        <v>49</v>
      </c>
      <c r="F28" s="14" t="s">
        <v>50</v>
      </c>
      <c r="G28" s="14" t="s">
        <v>50</v>
      </c>
      <c r="H28" s="14" t="s">
        <v>50</v>
      </c>
      <c r="I28" s="14" t="s">
        <v>49</v>
      </c>
    </row>
    <row r="30" spans="1:13">
      <c r="A30" s="17" t="s">
        <v>65</v>
      </c>
      <c r="B30" s="18"/>
      <c r="C30" s="19" t="s">
        <v>94</v>
      </c>
    </row>
    <row r="31" spans="1:13" ht="69.75" customHeight="1">
      <c r="A31" s="17"/>
      <c r="B31" s="18"/>
      <c r="C31" s="19"/>
      <c r="E31" s="5" t="s">
        <v>465</v>
      </c>
    </row>
    <row r="32" spans="1:13">
      <c r="A32" s="17" t="s">
        <v>66</v>
      </c>
      <c r="B32" s="18"/>
      <c r="C32" s="19" t="s">
        <v>67</v>
      </c>
    </row>
    <row r="33" spans="1:3">
      <c r="A33" s="17"/>
      <c r="B33" s="18"/>
      <c r="C33" s="19"/>
    </row>
    <row r="34" spans="1:3">
      <c r="A34" s="17" t="s">
        <v>469</v>
      </c>
      <c r="B34" s="18"/>
      <c r="C34" s="19"/>
    </row>
  </sheetData>
  <mergeCells count="8">
    <mergeCell ref="I10:I11"/>
    <mergeCell ref="A9:F9"/>
    <mergeCell ref="G9:H9"/>
    <mergeCell ref="A10:A11"/>
    <mergeCell ref="B10:B11"/>
    <mergeCell ref="C10:C11"/>
    <mergeCell ref="D10:D11"/>
    <mergeCell ref="E10:H10"/>
  </mergeCells>
  <phoneticPr fontId="0" type="noConversion"/>
  <pageMargins left="0.78740157480314954" right="0.19685039370078738" top="0.39370078740157477" bottom="0.39370078740157477" header="0" footer="0"/>
  <pageSetup paperSize="9" scale="86" fitToHeight="0" orientation="landscape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 бюджета</vt:lpstr>
      <vt:lpstr>ИФДБ</vt:lpstr>
      <vt:lpstr>доходы!FIO</vt:lpstr>
      <vt:lpstr>ИФДБ!Заголовки_для_печати</vt:lpstr>
      <vt:lpstr>'Расходы бюджета'!Заголовки_для_печати</vt:lpstr>
    </vt:vector>
  </TitlesOfParts>
  <Company>CC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Yu. Pronina</dc:creator>
  <cp:lastModifiedBy>Саенко</cp:lastModifiedBy>
  <cp:lastPrinted>2015-10-06T05:40:47Z</cp:lastPrinted>
  <dcterms:created xsi:type="dcterms:W3CDTF">2005-06-23T13:40:44Z</dcterms:created>
  <dcterms:modified xsi:type="dcterms:W3CDTF">2015-10-07T16:48:37Z</dcterms:modified>
</cp:coreProperties>
</file>