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285" yWindow="-285" windowWidth="10995" windowHeight="9165"/>
  </bookViews>
  <sheets>
    <sheet name="доходы" sheetId="4" r:id="rId1"/>
    <sheet name="Расходы бюджета" sheetId="3" r:id="rId2"/>
    <sheet name="ИФДБ" sheetId="2" r:id="rId3"/>
  </sheets>
  <definedNames>
    <definedName name="FIO" localSheetId="0">доходы!$D$23</definedName>
    <definedName name="_xlnm.Print_Titles" localSheetId="2">ИФДБ!$13:$13</definedName>
    <definedName name="_xlnm.Print_Titles" localSheetId="1">'Расходы бюджета'!$13:$13</definedName>
  </definedNames>
  <calcPr calcId="125725"/>
</workbook>
</file>

<file path=xl/calcChain.xml><?xml version="1.0" encoding="utf-8"?>
<calcChain xmlns="http://schemas.openxmlformats.org/spreadsheetml/2006/main">
  <c r="I81" i="4"/>
  <c r="I59"/>
  <c r="I60"/>
  <c r="I61"/>
  <c r="I62"/>
  <c r="I63"/>
  <c r="I64"/>
  <c r="I65"/>
  <c r="I69"/>
  <c r="I68" s="1"/>
  <c r="I70"/>
  <c r="I58"/>
  <c r="H23" i="2"/>
  <c r="F305" i="3"/>
  <c r="I305"/>
  <c r="F17"/>
  <c r="F16" s="1"/>
  <c r="I17"/>
  <c r="I16" s="1"/>
  <c r="F303"/>
  <c r="F297"/>
  <c r="F296"/>
  <c r="F290"/>
  <c r="F281"/>
  <c r="F279"/>
  <c r="F272"/>
  <c r="F270"/>
  <c r="F268"/>
  <c r="F267" s="1"/>
  <c r="F264"/>
  <c r="F260"/>
  <c r="F255"/>
  <c r="F251"/>
  <c r="F245"/>
  <c r="F241"/>
  <c r="F239"/>
  <c r="F240" s="1"/>
  <c r="F233" s="1"/>
  <c r="F232" s="1"/>
  <c r="F237"/>
  <c r="F227"/>
  <c r="F226"/>
  <c r="F228" s="1"/>
  <c r="F230" s="1"/>
  <c r="F225"/>
  <c r="F224" s="1"/>
  <c r="F219"/>
  <c r="F218"/>
  <c r="F217"/>
  <c r="F214"/>
  <c r="F212"/>
  <c r="F211" s="1"/>
  <c r="F210"/>
  <c r="F207"/>
  <c r="F201"/>
  <c r="F200" s="1"/>
  <c r="F199" s="1"/>
  <c r="F196"/>
  <c r="F195"/>
  <c r="F295" s="1"/>
  <c r="F194"/>
  <c r="F193"/>
  <c r="F192" s="1"/>
  <c r="F190"/>
  <c r="F288" s="1"/>
  <c r="F187"/>
  <c r="F186"/>
  <c r="F188" s="1"/>
  <c r="F181" s="1"/>
  <c r="F185"/>
  <c r="F182"/>
  <c r="F176"/>
  <c r="F167"/>
  <c r="F166" s="1"/>
  <c r="F165" s="1"/>
  <c r="F162"/>
  <c r="F161"/>
  <c r="F160" s="1"/>
  <c r="F155"/>
  <c r="F151"/>
  <c r="F149" s="1"/>
  <c r="F148" s="1"/>
  <c r="F147"/>
  <c r="F146"/>
  <c r="F136"/>
  <c r="F135"/>
  <c r="F132"/>
  <c r="F298" s="1"/>
  <c r="F127"/>
  <c r="F121"/>
  <c r="F120"/>
  <c r="F122" s="1"/>
  <c r="F115" s="1"/>
  <c r="F114" s="1"/>
  <c r="F113" s="1"/>
  <c r="F119"/>
  <c r="F116"/>
  <c r="F109"/>
  <c r="F106"/>
  <c r="F105"/>
  <c r="F100"/>
  <c r="F97"/>
  <c r="F92"/>
  <c r="F88"/>
  <c r="F83"/>
  <c r="F79" s="1"/>
  <c r="F74"/>
  <c r="F300" s="1"/>
  <c r="F73"/>
  <c r="F299" s="1"/>
  <c r="F301" s="1"/>
  <c r="F68"/>
  <c r="F294" s="1"/>
  <c r="F66"/>
  <c r="F291" s="1"/>
  <c r="F64"/>
  <c r="F289" s="1"/>
  <c r="F62"/>
  <c r="F287" s="1"/>
  <c r="F55"/>
  <c r="F54"/>
  <c r="F56" s="1"/>
  <c r="F53"/>
  <c r="F51"/>
  <c r="F280" s="1"/>
  <c r="F48"/>
  <c r="F277" s="1"/>
  <c r="F47"/>
  <c r="F49" s="1"/>
  <c r="F46" s="1"/>
  <c r="F41"/>
  <c r="F37"/>
  <c r="F36"/>
  <c r="F30"/>
  <c r="F29"/>
  <c r="F21"/>
  <c r="F284" s="1"/>
  <c r="F20"/>
  <c r="F42" s="1"/>
  <c r="F19"/>
  <c r="F276" s="1"/>
  <c r="F278" s="1"/>
  <c r="G81" i="4"/>
  <c r="F81"/>
  <c r="G80"/>
  <c r="F80"/>
  <c r="G79"/>
  <c r="F79"/>
  <c r="G78"/>
  <c r="F78"/>
  <c r="G77"/>
  <c r="F77"/>
  <c r="G76"/>
  <c r="F76"/>
  <c r="G75"/>
  <c r="F75"/>
  <c r="G74"/>
  <c r="F74"/>
  <c r="G73"/>
  <c r="F73"/>
  <c r="G72"/>
  <c r="F72"/>
  <c r="G71"/>
  <c r="F71"/>
  <c r="G70"/>
  <c r="F70"/>
  <c r="G69"/>
  <c r="F69"/>
  <c r="G68"/>
  <c r="F68"/>
  <c r="G67"/>
  <c r="F67"/>
  <c r="G66"/>
  <c r="F66"/>
  <c r="G65"/>
  <c r="F65"/>
  <c r="G64"/>
  <c r="F64"/>
  <c r="G63"/>
  <c r="F63"/>
  <c r="G62"/>
  <c r="F62"/>
  <c r="G61"/>
  <c r="F61"/>
  <c r="G60"/>
  <c r="F60"/>
  <c r="G59"/>
  <c r="F59"/>
  <c r="G58"/>
  <c r="F58"/>
  <c r="G57"/>
  <c r="F57"/>
  <c r="G56"/>
  <c r="F56"/>
  <c r="G55"/>
  <c r="F55"/>
  <c r="G54"/>
  <c r="F54"/>
  <c r="G53"/>
  <c r="F53"/>
  <c r="G52"/>
  <c r="F52"/>
  <c r="G51"/>
  <c r="F51"/>
  <c r="G50"/>
  <c r="F50"/>
  <c r="G49"/>
  <c r="F49"/>
  <c r="G48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H80"/>
  <c r="H79"/>
  <c r="H78" s="1"/>
  <c r="H77" s="1"/>
  <c r="H75"/>
  <c r="H74"/>
  <c r="H73" s="1"/>
  <c r="H72" s="1"/>
  <c r="H71" s="1"/>
  <c r="H67" s="1"/>
  <c r="H66" s="1"/>
  <c r="H70"/>
  <c r="H69"/>
  <c r="H68"/>
  <c r="H55"/>
  <c r="H54"/>
  <c r="H53"/>
  <c r="H46"/>
  <c r="H42"/>
  <c r="H41"/>
  <c r="H40"/>
  <c r="H35"/>
  <c r="H34"/>
  <c r="H30"/>
  <c r="H27"/>
  <c r="H23"/>
  <c r="H22"/>
  <c r="H21"/>
  <c r="H20"/>
  <c r="H18"/>
  <c r="F23"/>
  <c r="F22" s="1"/>
  <c r="F21" s="1"/>
  <c r="F20" s="1"/>
  <c r="F18" s="1"/>
  <c r="G23"/>
  <c r="G22" s="1"/>
  <c r="G21" s="1"/>
  <c r="G20" s="1"/>
  <c r="G18" s="1"/>
  <c r="E21"/>
  <c r="E20" s="1"/>
  <c r="E18" s="1"/>
  <c r="I18" s="1"/>
  <c r="E168" i="3"/>
  <c r="E64"/>
  <c r="E55"/>
  <c r="D55"/>
  <c r="E48"/>
  <c r="E47"/>
  <c r="D48"/>
  <c r="D47"/>
  <c r="E19"/>
  <c r="E20"/>
  <c r="E21"/>
  <c r="D21"/>
  <c r="D20"/>
  <c r="D19"/>
  <c r="E73"/>
  <c r="D73"/>
  <c r="E70"/>
  <c r="D70"/>
  <c r="E59"/>
  <c r="D59"/>
  <c r="E205"/>
  <c r="E220"/>
  <c r="E213"/>
  <c r="E216"/>
  <c r="E222"/>
  <c r="D222"/>
  <c r="D220"/>
  <c r="D216"/>
  <c r="D213"/>
  <c r="D205"/>
  <c r="D64"/>
  <c r="D168"/>
  <c r="E271"/>
  <c r="D271"/>
  <c r="G255"/>
  <c r="H255"/>
  <c r="I255"/>
  <c r="E251"/>
  <c r="G251"/>
  <c r="H251"/>
  <c r="I251"/>
  <c r="D251"/>
  <c r="E270"/>
  <c r="E268"/>
  <c r="E51"/>
  <c r="E208"/>
  <c r="E209"/>
  <c r="E202"/>
  <c r="E193"/>
  <c r="E195"/>
  <c r="E190"/>
  <c r="E191"/>
  <c r="G167"/>
  <c r="G166" s="1"/>
  <c r="G165" s="1"/>
  <c r="H167"/>
  <c r="H166" s="1"/>
  <c r="H165" s="1"/>
  <c r="I167"/>
  <c r="I166" s="1"/>
  <c r="I165" s="1"/>
  <c r="E69"/>
  <c r="G298"/>
  <c r="H298"/>
  <c r="G300"/>
  <c r="H300"/>
  <c r="D249"/>
  <c r="D69"/>
  <c r="G149"/>
  <c r="H149"/>
  <c r="D51"/>
  <c r="D193"/>
  <c r="D191"/>
  <c r="D195"/>
  <c r="D190"/>
  <c r="D270"/>
  <c r="D268"/>
  <c r="D209"/>
  <c r="D208"/>
  <c r="D202"/>
  <c r="F302" l="1"/>
  <c r="F266"/>
  <c r="F159"/>
  <c r="F180"/>
  <c r="F179" s="1"/>
  <c r="F292"/>
  <c r="F286" s="1"/>
  <c r="F282"/>
  <c r="F304" s="1"/>
  <c r="F22"/>
  <c r="F18" s="1"/>
  <c r="F43"/>
  <c r="F44" s="1"/>
  <c r="F67"/>
  <c r="F61" s="1"/>
  <c r="F25" s="1"/>
  <c r="F24" s="1"/>
  <c r="F75"/>
  <c r="F283"/>
  <c r="F285" s="1"/>
  <c r="F40"/>
  <c r="E236"/>
  <c r="E249"/>
  <c r="E247"/>
  <c r="E246"/>
  <c r="E245"/>
  <c r="E243"/>
  <c r="E242"/>
  <c r="E219"/>
  <c r="D219"/>
  <c r="E74"/>
  <c r="E63"/>
  <c r="D245"/>
  <c r="E239"/>
  <c r="D239"/>
  <c r="E151"/>
  <c r="E214"/>
  <c r="E218"/>
  <c r="E187"/>
  <c r="D187"/>
  <c r="E215"/>
  <c r="D215"/>
  <c r="E68"/>
  <c r="E54"/>
  <c r="D68"/>
  <c r="E234"/>
  <c r="E238"/>
  <c r="D238"/>
  <c r="D234"/>
  <c r="E116"/>
  <c r="E121"/>
  <c r="E120"/>
  <c r="D133"/>
  <c r="D121"/>
  <c r="D120"/>
  <c r="D116"/>
  <c r="D54"/>
  <c r="D63"/>
  <c r="D74"/>
  <c r="D214"/>
  <c r="D218"/>
  <c r="D247"/>
  <c r="D246"/>
  <c r="D243"/>
  <c r="D242"/>
  <c r="D241" s="1"/>
  <c r="D236"/>
  <c r="I270"/>
  <c r="I187"/>
  <c r="I186"/>
  <c r="I182"/>
  <c r="I245"/>
  <c r="I239"/>
  <c r="I219"/>
  <c r="I151"/>
  <c r="I155"/>
  <c r="I48"/>
  <c r="I21"/>
  <c r="I20"/>
  <c r="I19"/>
  <c r="I73"/>
  <c r="I74"/>
  <c r="I300" s="1"/>
  <c r="I66"/>
  <c r="I196"/>
  <c r="I194"/>
  <c r="I193"/>
  <c r="I54"/>
  <c r="I195"/>
  <c r="I62"/>
  <c r="I68"/>
  <c r="I190"/>
  <c r="I218"/>
  <c r="I212"/>
  <c r="I51"/>
  <c r="I268"/>
  <c r="I214"/>
  <c r="I55"/>
  <c r="I47"/>
  <c r="I227"/>
  <c r="I226"/>
  <c r="I225"/>
  <c r="K221"/>
  <c r="J221"/>
  <c r="I64"/>
  <c r="I29" i="4"/>
  <c r="D76"/>
  <c r="D48"/>
  <c r="D31"/>
  <c r="D28"/>
  <c r="D27" s="1"/>
  <c r="D151" i="3"/>
  <c r="E155"/>
  <c r="D155"/>
  <c r="K157"/>
  <c r="J157"/>
  <c r="E70" i="4"/>
  <c r="D74"/>
  <c r="E74"/>
  <c r="E75"/>
  <c r="E79"/>
  <c r="K253" i="3"/>
  <c r="J253"/>
  <c r="E256"/>
  <c r="D256"/>
  <c r="I116"/>
  <c r="I121"/>
  <c r="I120"/>
  <c r="F45" l="1"/>
  <c r="I149"/>
  <c r="E73" i="4"/>
  <c r="D73"/>
  <c r="I76"/>
  <c r="E257" i="3"/>
  <c r="E255" s="1"/>
  <c r="D257"/>
  <c r="D255" s="1"/>
  <c r="K256"/>
  <c r="J256"/>
  <c r="E80" i="4"/>
  <c r="K252" i="3"/>
  <c r="K251" s="1"/>
  <c r="J252"/>
  <c r="J251" s="1"/>
  <c r="E225"/>
  <c r="E226"/>
  <c r="E227"/>
  <c r="E172"/>
  <c r="G162"/>
  <c r="G161" s="1"/>
  <c r="G160" s="1"/>
  <c r="H162"/>
  <c r="H161" s="1"/>
  <c r="H160" s="1"/>
  <c r="I162"/>
  <c r="I161" s="1"/>
  <c r="I160" s="1"/>
  <c r="E132"/>
  <c r="E182"/>
  <c r="D182"/>
  <c r="E184"/>
  <c r="D184"/>
  <c r="E141"/>
  <c r="E140"/>
  <c r="D132"/>
  <c r="E89"/>
  <c r="E82"/>
  <c r="E81"/>
  <c r="E80"/>
  <c r="E72"/>
  <c r="E66"/>
  <c r="E50"/>
  <c r="I132"/>
  <c r="I298" s="1"/>
  <c r="I49"/>
  <c r="I73" i="4" l="1"/>
  <c r="E298" i="3"/>
  <c r="D72"/>
  <c r="D298" s="1"/>
  <c r="D75"/>
  <c r="D89"/>
  <c r="D107"/>
  <c r="D50"/>
  <c r="D172"/>
  <c r="D79" i="4"/>
  <c r="D81"/>
  <c r="D80" s="1"/>
  <c r="E111" i="3"/>
  <c r="E300" s="1"/>
  <c r="D111"/>
  <c r="D300" s="1"/>
  <c r="D227"/>
  <c r="D226"/>
  <c r="D225"/>
  <c r="D192" l="1"/>
  <c r="D66"/>
  <c r="D82"/>
  <c r="D81"/>
  <c r="D80"/>
  <c r="D141" l="1"/>
  <c r="D140"/>
  <c r="E176"/>
  <c r="G176"/>
  <c r="H176"/>
  <c r="I176"/>
  <c r="D176"/>
  <c r="E303"/>
  <c r="G303"/>
  <c r="H303"/>
  <c r="I303"/>
  <c r="D303"/>
  <c r="K163"/>
  <c r="K303" s="1"/>
  <c r="J163"/>
  <c r="J303" s="1"/>
  <c r="E162"/>
  <c r="K162" s="1"/>
  <c r="D162"/>
  <c r="J162" s="1"/>
  <c r="E72" i="4"/>
  <c r="E71" s="1"/>
  <c r="D72"/>
  <c r="I75"/>
  <c r="I80"/>
  <c r="D23"/>
  <c r="D56"/>
  <c r="E204" i="3"/>
  <c r="E186"/>
  <c r="E169"/>
  <c r="E167" s="1"/>
  <c r="E166" s="1"/>
  <c r="E165" s="1"/>
  <c r="E156"/>
  <c r="E153"/>
  <c r="E152"/>
  <c r="E128"/>
  <c r="E126"/>
  <c r="E124"/>
  <c r="E118"/>
  <c r="E297"/>
  <c r="E65"/>
  <c r="D65"/>
  <c r="D152"/>
  <c r="E23" i="4"/>
  <c r="E119" i="3" l="1"/>
  <c r="E280"/>
  <c r="E127"/>
  <c r="E294"/>
  <c r="E149"/>
  <c r="D71" i="4"/>
  <c r="I72"/>
  <c r="D161" i="3"/>
  <c r="J161" s="1"/>
  <c r="E161"/>
  <c r="D124"/>
  <c r="E46" i="4"/>
  <c r="D128" i="3"/>
  <c r="D126"/>
  <c r="D118"/>
  <c r="D169"/>
  <c r="G294"/>
  <c r="H294"/>
  <c r="I294"/>
  <c r="G295"/>
  <c r="H295"/>
  <c r="I295"/>
  <c r="G283"/>
  <c r="H283"/>
  <c r="G284"/>
  <c r="H284"/>
  <c r="G277"/>
  <c r="H277"/>
  <c r="I277"/>
  <c r="D276"/>
  <c r="E284"/>
  <c r="E283"/>
  <c r="D153"/>
  <c r="K152"/>
  <c r="J152"/>
  <c r="D156"/>
  <c r="D297"/>
  <c r="G280"/>
  <c r="H280"/>
  <c r="I280"/>
  <c r="D280"/>
  <c r="E281"/>
  <c r="G281"/>
  <c r="H281"/>
  <c r="I281"/>
  <c r="D281"/>
  <c r="K51"/>
  <c r="J51"/>
  <c r="K80"/>
  <c r="J80"/>
  <c r="I83"/>
  <c r="I79" s="1"/>
  <c r="H83"/>
  <c r="H79" s="1"/>
  <c r="G83"/>
  <c r="G79" s="1"/>
  <c r="E83"/>
  <c r="E79" s="1"/>
  <c r="K82"/>
  <c r="J82"/>
  <c r="K81"/>
  <c r="J81"/>
  <c r="D83"/>
  <c r="D79" s="1"/>
  <c r="I297"/>
  <c r="I283"/>
  <c r="I284"/>
  <c r="K95"/>
  <c r="J95"/>
  <c r="E78" i="4"/>
  <c r="E77" s="1"/>
  <c r="D62"/>
  <c r="D149" i="3" l="1"/>
  <c r="I71" i="4"/>
  <c r="D160" i="3"/>
  <c r="J160" s="1"/>
  <c r="J83"/>
  <c r="J79" s="1"/>
  <c r="E160"/>
  <c r="K161"/>
  <c r="E277"/>
  <c r="E295"/>
  <c r="D294"/>
  <c r="K83"/>
  <c r="K79" s="1"/>
  <c r="K160" l="1"/>
  <c r="E42" i="4"/>
  <c r="G297" i="3"/>
  <c r="H297"/>
  <c r="K177"/>
  <c r="K176" s="1"/>
  <c r="J177"/>
  <c r="J176" s="1"/>
  <c r="K76"/>
  <c r="J76"/>
  <c r="K257"/>
  <c r="J257"/>
  <c r="K258" l="1"/>
  <c r="K255" s="1"/>
  <c r="J258"/>
  <c r="J255" s="1"/>
  <c r="E296" l="1"/>
  <c r="G296"/>
  <c r="H296"/>
  <c r="I296"/>
  <c r="D296"/>
  <c r="K93"/>
  <c r="K296" s="1"/>
  <c r="J93"/>
  <c r="J296" s="1"/>
  <c r="G92"/>
  <c r="H92"/>
  <c r="I92"/>
  <c r="E92"/>
  <c r="D92"/>
  <c r="D46" i="4"/>
  <c r="I122" i="3"/>
  <c r="I115" s="1"/>
  <c r="I43"/>
  <c r="D284"/>
  <c r="D186"/>
  <c r="D283" s="1"/>
  <c r="D277"/>
  <c r="I51" i="4"/>
  <c r="I49"/>
  <c r="E272" i="3"/>
  <c r="K215"/>
  <c r="J55"/>
  <c r="K55"/>
  <c r="K54"/>
  <c r="J54"/>
  <c r="D49"/>
  <c r="K48"/>
  <c r="K47"/>
  <c r="I57" i="4"/>
  <c r="E41"/>
  <c r="E40" s="1"/>
  <c r="D295" i="3"/>
  <c r="E279"/>
  <c r="E282" s="1"/>
  <c r="G279"/>
  <c r="G282" s="1"/>
  <c r="H279"/>
  <c r="I279"/>
  <c r="D279"/>
  <c r="D282" s="1"/>
  <c r="I86" i="4"/>
  <c r="I85"/>
  <c r="I84"/>
  <c r="I83"/>
  <c r="I82"/>
  <c r="I79"/>
  <c r="D78"/>
  <c r="I74"/>
  <c r="E69"/>
  <c r="E68" s="1"/>
  <c r="E67" s="1"/>
  <c r="D69"/>
  <c r="D68" s="1"/>
  <c r="I56"/>
  <c r="E55"/>
  <c r="E54" s="1"/>
  <c r="E53" s="1"/>
  <c r="D55"/>
  <c r="I52"/>
  <c r="I50"/>
  <c r="I48"/>
  <c r="I47"/>
  <c r="I45"/>
  <c r="I44"/>
  <c r="I43"/>
  <c r="I39"/>
  <c r="I38"/>
  <c r="I37"/>
  <c r="I36"/>
  <c r="E35"/>
  <c r="E34" s="1"/>
  <c r="D35"/>
  <c r="I33"/>
  <c r="I32"/>
  <c r="I31"/>
  <c r="E30"/>
  <c r="D30"/>
  <c r="D22" s="1"/>
  <c r="I28"/>
  <c r="E27"/>
  <c r="I26"/>
  <c r="I25"/>
  <c r="I24"/>
  <c r="J19" i="3"/>
  <c r="I22"/>
  <c r="I18" s="1"/>
  <c r="D127"/>
  <c r="I53"/>
  <c r="I56"/>
  <c r="I67"/>
  <c r="I61" s="1"/>
  <c r="I75"/>
  <c r="I109"/>
  <c r="J20"/>
  <c r="J47"/>
  <c r="J48"/>
  <c r="J50"/>
  <c r="J52"/>
  <c r="J281" s="1"/>
  <c r="J62"/>
  <c r="J63"/>
  <c r="J64"/>
  <c r="J65"/>
  <c r="J66"/>
  <c r="J291" s="1"/>
  <c r="J68"/>
  <c r="J58"/>
  <c r="J73"/>
  <c r="J74"/>
  <c r="J77"/>
  <c r="J59"/>
  <c r="J111"/>
  <c r="J109" s="1"/>
  <c r="J107"/>
  <c r="J97" s="1"/>
  <c r="I159"/>
  <c r="J168"/>
  <c r="J169"/>
  <c r="J172"/>
  <c r="J174"/>
  <c r="J175"/>
  <c r="K168"/>
  <c r="K169"/>
  <c r="K174"/>
  <c r="K175"/>
  <c r="E53"/>
  <c r="E67"/>
  <c r="E61" s="1"/>
  <c r="E75"/>
  <c r="E84"/>
  <c r="J89"/>
  <c r="J85"/>
  <c r="J86"/>
  <c r="K50"/>
  <c r="K52"/>
  <c r="K62"/>
  <c r="K63"/>
  <c r="K64"/>
  <c r="K289" s="1"/>
  <c r="K65"/>
  <c r="K290" s="1"/>
  <c r="K66"/>
  <c r="K291" s="1"/>
  <c r="K68"/>
  <c r="K69"/>
  <c r="K58"/>
  <c r="K70"/>
  <c r="K73"/>
  <c r="K299" s="1"/>
  <c r="K74"/>
  <c r="K72"/>
  <c r="K77"/>
  <c r="K59"/>
  <c r="K85"/>
  <c r="K86"/>
  <c r="E22"/>
  <c r="E18" s="1"/>
  <c r="E17" s="1"/>
  <c r="E109"/>
  <c r="K19"/>
  <c r="K111"/>
  <c r="K109" s="1"/>
  <c r="I127"/>
  <c r="D272"/>
  <c r="D267" s="1"/>
  <c r="D266" s="1"/>
  <c r="D185"/>
  <c r="D188"/>
  <c r="D122"/>
  <c r="D115" s="1"/>
  <c r="D53"/>
  <c r="D67"/>
  <c r="D61" s="1"/>
  <c r="D84"/>
  <c r="I276"/>
  <c r="I282"/>
  <c r="I288"/>
  <c r="I287"/>
  <c r="I289"/>
  <c r="I290"/>
  <c r="I291"/>
  <c r="I299"/>
  <c r="I207"/>
  <c r="I210"/>
  <c r="I217"/>
  <c r="I211" s="1"/>
  <c r="I228"/>
  <c r="I224" s="1"/>
  <c r="I237"/>
  <c r="I240"/>
  <c r="I241"/>
  <c r="I264"/>
  <c r="I260" s="1"/>
  <c r="I272"/>
  <c r="I267" s="1"/>
  <c r="I266" s="1"/>
  <c r="D289"/>
  <c r="E90"/>
  <c r="K90" s="1"/>
  <c r="D90"/>
  <c r="D88" s="1"/>
  <c r="J132"/>
  <c r="K132"/>
  <c r="D167"/>
  <c r="D166" s="1"/>
  <c r="D165" s="1"/>
  <c r="D159" s="1"/>
  <c r="E136"/>
  <c r="E135" s="1"/>
  <c r="K216"/>
  <c r="K212"/>
  <c r="K213"/>
  <c r="K218"/>
  <c r="K219"/>
  <c r="E207"/>
  <c r="D204"/>
  <c r="J204" s="1"/>
  <c r="J271"/>
  <c r="J270"/>
  <c r="K274"/>
  <c r="J274"/>
  <c r="K269"/>
  <c r="J269"/>
  <c r="K116"/>
  <c r="E276"/>
  <c r="J116"/>
  <c r="E299"/>
  <c r="E291"/>
  <c r="E289"/>
  <c r="E288"/>
  <c r="E287"/>
  <c r="E264"/>
  <c r="E260" s="1"/>
  <c r="E241"/>
  <c r="K239"/>
  <c r="E240"/>
  <c r="E237"/>
  <c r="E228"/>
  <c r="E230" s="1"/>
  <c r="E210"/>
  <c r="E192"/>
  <c r="E185"/>
  <c r="K154"/>
  <c r="E147"/>
  <c r="E146"/>
  <c r="E105"/>
  <c r="E106" s="1"/>
  <c r="E100"/>
  <c r="K171"/>
  <c r="K209"/>
  <c r="J208"/>
  <c r="G84"/>
  <c r="H84"/>
  <c r="D288"/>
  <c r="H228"/>
  <c r="H224" s="1"/>
  <c r="G228"/>
  <c r="G224" s="1"/>
  <c r="D228"/>
  <c r="D224" s="1"/>
  <c r="K227"/>
  <c r="J227"/>
  <c r="K226"/>
  <c r="K228" s="1"/>
  <c r="J226"/>
  <c r="K225"/>
  <c r="J225"/>
  <c r="K245"/>
  <c r="J245"/>
  <c r="D240"/>
  <c r="D264"/>
  <c r="D260" s="1"/>
  <c r="K263"/>
  <c r="J263"/>
  <c r="K262"/>
  <c r="K264" s="1"/>
  <c r="J262"/>
  <c r="J264" s="1"/>
  <c r="H264"/>
  <c r="H260" s="1"/>
  <c r="G264"/>
  <c r="G260" s="1"/>
  <c r="K261"/>
  <c r="J261"/>
  <c r="G230"/>
  <c r="K229"/>
  <c r="J229"/>
  <c r="K273"/>
  <c r="J273"/>
  <c r="J183"/>
  <c r="G148"/>
  <c r="H148"/>
  <c r="I148"/>
  <c r="K153"/>
  <c r="J153"/>
  <c r="J156"/>
  <c r="K156"/>
  <c r="K155"/>
  <c r="J155"/>
  <c r="G88"/>
  <c r="H88"/>
  <c r="I88"/>
  <c r="J90"/>
  <c r="D290"/>
  <c r="G97"/>
  <c r="H97"/>
  <c r="I97"/>
  <c r="D97"/>
  <c r="G299"/>
  <c r="H299"/>
  <c r="D299"/>
  <c r="G290"/>
  <c r="H290"/>
  <c r="G289"/>
  <c r="H289"/>
  <c r="G291"/>
  <c r="H291"/>
  <c r="D291"/>
  <c r="G287"/>
  <c r="H287"/>
  <c r="G288"/>
  <c r="H288"/>
  <c r="D287"/>
  <c r="H282"/>
  <c r="G276"/>
  <c r="G278" s="1"/>
  <c r="H276"/>
  <c r="H278" s="1"/>
  <c r="G272"/>
  <c r="G267" s="1"/>
  <c r="G266" s="1"/>
  <c r="H272"/>
  <c r="H267" s="1"/>
  <c r="H266" s="1"/>
  <c r="K249"/>
  <c r="J249"/>
  <c r="K248"/>
  <c r="J248"/>
  <c r="K247"/>
  <c r="J247"/>
  <c r="K246"/>
  <c r="J246"/>
  <c r="K244"/>
  <c r="J244"/>
  <c r="K243"/>
  <c r="J243"/>
  <c r="K242"/>
  <c r="J242"/>
  <c r="J239"/>
  <c r="K238"/>
  <c r="J238"/>
  <c r="J235"/>
  <c r="K235"/>
  <c r="J236"/>
  <c r="K236"/>
  <c r="K234"/>
  <c r="J234"/>
  <c r="G192"/>
  <c r="H192"/>
  <c r="I192"/>
  <c r="K190"/>
  <c r="J190"/>
  <c r="G136"/>
  <c r="G135" s="1"/>
  <c r="H136"/>
  <c r="H135" s="1"/>
  <c r="I136"/>
  <c r="I135" s="1"/>
  <c r="D136"/>
  <c r="D135" s="1"/>
  <c r="G127"/>
  <c r="H127"/>
  <c r="G109"/>
  <c r="H109"/>
  <c r="D109"/>
  <c r="K191"/>
  <c r="J191"/>
  <c r="G159"/>
  <c r="H159"/>
  <c r="J154"/>
  <c r="J151"/>
  <c r="J196"/>
  <c r="K196"/>
  <c r="J141"/>
  <c r="J129"/>
  <c r="K129"/>
  <c r="K124"/>
  <c r="J124"/>
  <c r="K203"/>
  <c r="K204"/>
  <c r="J203"/>
  <c r="K270"/>
  <c r="K268"/>
  <c r="J170"/>
  <c r="K170"/>
  <c r="K172"/>
  <c r="J130"/>
  <c r="K130"/>
  <c r="G22"/>
  <c r="G18" s="1"/>
  <c r="G17" s="1"/>
  <c r="H22"/>
  <c r="H18" s="1"/>
  <c r="H17" s="1"/>
  <c r="I40"/>
  <c r="I41"/>
  <c r="I42"/>
  <c r="D42"/>
  <c r="D41"/>
  <c r="J184"/>
  <c r="K193"/>
  <c r="K182"/>
  <c r="K126"/>
  <c r="E40"/>
  <c r="E42"/>
  <c r="E43"/>
  <c r="E41"/>
  <c r="J133"/>
  <c r="J182"/>
  <c r="J120"/>
  <c r="J126"/>
  <c r="J110"/>
  <c r="J131"/>
  <c r="J194"/>
  <c r="J140"/>
  <c r="K140"/>
  <c r="K141"/>
  <c r="K195"/>
  <c r="K110"/>
  <c r="K131"/>
  <c r="J205"/>
  <c r="J219"/>
  <c r="J220"/>
  <c r="J218"/>
  <c r="J212"/>
  <c r="J222"/>
  <c r="J216"/>
  <c r="J214"/>
  <c r="J213"/>
  <c r="K205"/>
  <c r="K208"/>
  <c r="K202"/>
  <c r="K220"/>
  <c r="K222"/>
  <c r="J102"/>
  <c r="J103"/>
  <c r="J104"/>
  <c r="J98"/>
  <c r="J99"/>
  <c r="J193"/>
  <c r="J197"/>
  <c r="J137"/>
  <c r="J138"/>
  <c r="J117"/>
  <c r="J118"/>
  <c r="J128"/>
  <c r="J143"/>
  <c r="J144"/>
  <c r="J145"/>
  <c r="K102"/>
  <c r="K103"/>
  <c r="K104"/>
  <c r="K98"/>
  <c r="K99"/>
  <c r="K184"/>
  <c r="K194"/>
  <c r="K197"/>
  <c r="K137"/>
  <c r="K138"/>
  <c r="K117"/>
  <c r="K118"/>
  <c r="K280" s="1"/>
  <c r="K128"/>
  <c r="K133"/>
  <c r="K143"/>
  <c r="K144"/>
  <c r="K146" s="1"/>
  <c r="K145"/>
  <c r="G40"/>
  <c r="G42"/>
  <c r="G43"/>
  <c r="G41"/>
  <c r="G122"/>
  <c r="G115" s="1"/>
  <c r="G114" s="1"/>
  <c r="G113" s="1"/>
  <c r="G185"/>
  <c r="G188"/>
  <c r="G147"/>
  <c r="H40"/>
  <c r="H42"/>
  <c r="H43"/>
  <c r="H44" s="1"/>
  <c r="H45" s="1"/>
  <c r="H41"/>
  <c r="H122"/>
  <c r="H115" s="1"/>
  <c r="H185"/>
  <c r="H188"/>
  <c r="H147"/>
  <c r="I185"/>
  <c r="I119"/>
  <c r="I147"/>
  <c r="D119"/>
  <c r="D147"/>
  <c r="G207"/>
  <c r="H207"/>
  <c r="G146"/>
  <c r="H146"/>
  <c r="I146"/>
  <c r="D146"/>
  <c r="G237"/>
  <c r="G240"/>
  <c r="H240"/>
  <c r="D237"/>
  <c r="D233" s="1"/>
  <c r="D232" s="1"/>
  <c r="G49"/>
  <c r="G53"/>
  <c r="G56"/>
  <c r="G67"/>
  <c r="G61" s="1"/>
  <c r="G75"/>
  <c r="H49"/>
  <c r="H53"/>
  <c r="H56"/>
  <c r="H67"/>
  <c r="H61" s="1"/>
  <c r="H75"/>
  <c r="G210"/>
  <c r="G217"/>
  <c r="G211" s="1"/>
  <c r="H210"/>
  <c r="H217"/>
  <c r="H211" s="1"/>
  <c r="K33"/>
  <c r="K34"/>
  <c r="K35"/>
  <c r="J33"/>
  <c r="J34"/>
  <c r="J35"/>
  <c r="I36"/>
  <c r="I37" s="1"/>
  <c r="H36"/>
  <c r="H37" s="1"/>
  <c r="G36"/>
  <c r="G37" s="1"/>
  <c r="E36"/>
  <c r="E37" s="1"/>
  <c r="D36"/>
  <c r="D37" s="1"/>
  <c r="J26"/>
  <c r="J27"/>
  <c r="J28"/>
  <c r="J29" s="1"/>
  <c r="J30" s="1"/>
  <c r="K26"/>
  <c r="K27"/>
  <c r="K28"/>
  <c r="G100"/>
  <c r="H100"/>
  <c r="I100"/>
  <c r="D100"/>
  <c r="I105"/>
  <c r="I106" s="1"/>
  <c r="H105"/>
  <c r="H106" s="1"/>
  <c r="G105"/>
  <c r="G106" s="1"/>
  <c r="D105"/>
  <c r="D106" s="1"/>
  <c r="E29"/>
  <c r="E30" s="1"/>
  <c r="G29"/>
  <c r="G30" s="1"/>
  <c r="H29"/>
  <c r="H30" s="1"/>
  <c r="I29"/>
  <c r="I30" s="1"/>
  <c r="D29"/>
  <c r="D30" s="1"/>
  <c r="D22"/>
  <c r="D18" s="1"/>
  <c r="D17" s="1"/>
  <c r="J206"/>
  <c r="J202"/>
  <c r="J215"/>
  <c r="D217"/>
  <c r="D211" s="1"/>
  <c r="J209"/>
  <c r="K206"/>
  <c r="D210"/>
  <c r="K183"/>
  <c r="K279" s="1"/>
  <c r="J195"/>
  <c r="H237"/>
  <c r="D148"/>
  <c r="J268"/>
  <c r="D43"/>
  <c r="K120"/>
  <c r="E290"/>
  <c r="K151"/>
  <c r="K149" s="1"/>
  <c r="D40"/>
  <c r="J289"/>
  <c r="E122"/>
  <c r="E115" s="1"/>
  <c r="D41" i="4"/>
  <c r="K237" i="3"/>
  <c r="K89"/>
  <c r="G285"/>
  <c r="J228"/>
  <c r="E159"/>
  <c r="H181" l="1"/>
  <c r="H180" s="1"/>
  <c r="E224"/>
  <c r="J279"/>
  <c r="K167"/>
  <c r="K166" s="1"/>
  <c r="K165" s="1"/>
  <c r="K159" s="1"/>
  <c r="E267"/>
  <c r="E266" s="1"/>
  <c r="K300"/>
  <c r="K298"/>
  <c r="J230"/>
  <c r="D114"/>
  <c r="D113" s="1"/>
  <c r="D181"/>
  <c r="D180" s="1"/>
  <c r="K241"/>
  <c r="E22" i="4"/>
  <c r="E66"/>
  <c r="K84" i="3"/>
  <c r="J84"/>
  <c r="I78" i="4"/>
  <c r="D77"/>
  <c r="I77" s="1"/>
  <c r="I27"/>
  <c r="I30"/>
  <c r="I35"/>
  <c r="I55"/>
  <c r="D54"/>
  <c r="I54" s="1"/>
  <c r="D44" i="3"/>
  <c r="D45" s="1"/>
  <c r="J75"/>
  <c r="J294"/>
  <c r="J105"/>
  <c r="J106" s="1"/>
  <c r="K136"/>
  <c r="K135" s="1"/>
  <c r="K41"/>
  <c r="J42"/>
  <c r="D292"/>
  <c r="D286" s="1"/>
  <c r="K53"/>
  <c r="K281"/>
  <c r="J40"/>
  <c r="J237"/>
  <c r="J288"/>
  <c r="K75"/>
  <c r="K185"/>
  <c r="J217"/>
  <c r="J211" s="1"/>
  <c r="K29"/>
  <c r="K30" s="1"/>
  <c r="J36"/>
  <c r="J37" s="1"/>
  <c r="K36"/>
  <c r="K37" s="1"/>
  <c r="H201"/>
  <c r="H200" s="1"/>
  <c r="H46"/>
  <c r="H25" s="1"/>
  <c r="H16" s="1"/>
  <c r="G46"/>
  <c r="G25" s="1"/>
  <c r="G16" s="1"/>
  <c r="G241"/>
  <c r="H114"/>
  <c r="H113" s="1"/>
  <c r="G181"/>
  <c r="G180" s="1"/>
  <c r="G44"/>
  <c r="G45" s="1"/>
  <c r="K192"/>
  <c r="K100"/>
  <c r="K105"/>
  <c r="K106" s="1"/>
  <c r="J146"/>
  <c r="H301"/>
  <c r="K277"/>
  <c r="J277"/>
  <c r="J149"/>
  <c r="J148" s="1"/>
  <c r="K288"/>
  <c r="K295"/>
  <c r="K127"/>
  <c r="K294"/>
  <c r="J127"/>
  <c r="E114"/>
  <c r="E113" s="1"/>
  <c r="K119"/>
  <c r="J119"/>
  <c r="J280"/>
  <c r="J282" s="1"/>
  <c r="I201"/>
  <c r="I200" s="1"/>
  <c r="I278"/>
  <c r="K207"/>
  <c r="E44"/>
  <c r="E45" s="1"/>
  <c r="J70"/>
  <c r="J297" s="1"/>
  <c r="K92"/>
  <c r="J69"/>
  <c r="J295" s="1"/>
  <c r="H241"/>
  <c r="G201"/>
  <c r="G200" s="1"/>
  <c r="K147"/>
  <c r="J147"/>
  <c r="D207"/>
  <c r="D201" s="1"/>
  <c r="D200" s="1"/>
  <c r="K67"/>
  <c r="K61" s="1"/>
  <c r="H230"/>
  <c r="E148"/>
  <c r="J100"/>
  <c r="J136"/>
  <c r="J135" s="1"/>
  <c r="G292"/>
  <c r="G286" s="1"/>
  <c r="H292"/>
  <c r="H286" s="1"/>
  <c r="J210"/>
  <c r="J171"/>
  <c r="J300" s="1"/>
  <c r="D301"/>
  <c r="G301"/>
  <c r="K287"/>
  <c r="K240"/>
  <c r="K233" s="1"/>
  <c r="K232" s="1"/>
  <c r="J240"/>
  <c r="I301"/>
  <c r="J299"/>
  <c r="I46"/>
  <c r="J276"/>
  <c r="J185"/>
  <c r="K282"/>
  <c r="J224"/>
  <c r="J290"/>
  <c r="J292" s="1"/>
  <c r="I292"/>
  <c r="I286" s="1"/>
  <c r="K224"/>
  <c r="K230"/>
  <c r="J67"/>
  <c r="K292"/>
  <c r="K301"/>
  <c r="E97"/>
  <c r="E292"/>
  <c r="E286" s="1"/>
  <c r="J192"/>
  <c r="K210"/>
  <c r="K107"/>
  <c r="K297" s="1"/>
  <c r="J241"/>
  <c r="H285"/>
  <c r="J88"/>
  <c r="D230"/>
  <c r="I230"/>
  <c r="J260"/>
  <c r="I233"/>
  <c r="I232" s="1"/>
  <c r="J92"/>
  <c r="K40"/>
  <c r="J53"/>
  <c r="K88"/>
  <c r="D40" i="4"/>
  <c r="I40" s="1"/>
  <c r="J272" i="3"/>
  <c r="J267" s="1"/>
  <c r="J266" s="1"/>
  <c r="J41"/>
  <c r="K42"/>
  <c r="E233"/>
  <c r="E232" s="1"/>
  <c r="J207"/>
  <c r="I114"/>
  <c r="I113" s="1"/>
  <c r="E201"/>
  <c r="K187"/>
  <c r="J121"/>
  <c r="J122" s="1"/>
  <c r="J115" s="1"/>
  <c r="K121"/>
  <c r="K122" s="1"/>
  <c r="K115" s="1"/>
  <c r="I44"/>
  <c r="I45" s="1"/>
  <c r="J43"/>
  <c r="K21"/>
  <c r="J21"/>
  <c r="K43"/>
  <c r="K20"/>
  <c r="J187"/>
  <c r="J186"/>
  <c r="J283" s="1"/>
  <c r="I188"/>
  <c r="I181" s="1"/>
  <c r="I180" s="1"/>
  <c r="J287"/>
  <c r="I46" i="4"/>
  <c r="K148" i="3"/>
  <c r="G233"/>
  <c r="G232" s="1"/>
  <c r="D278"/>
  <c r="E301"/>
  <c r="G24"/>
  <c r="H233"/>
  <c r="E88"/>
  <c r="E188"/>
  <c r="E181" s="1"/>
  <c r="E180" s="1"/>
  <c r="K271"/>
  <c r="K272" s="1"/>
  <c r="K267" s="1"/>
  <c r="K266" s="1"/>
  <c r="K186"/>
  <c r="E217"/>
  <c r="E211" s="1"/>
  <c r="E200" s="1"/>
  <c r="K214"/>
  <c r="K217" s="1"/>
  <c r="K211" s="1"/>
  <c r="J72"/>
  <c r="J298" s="1"/>
  <c r="E56"/>
  <c r="K56"/>
  <c r="E285"/>
  <c r="J56"/>
  <c r="D56"/>
  <c r="D46" s="1"/>
  <c r="D25" s="1"/>
  <c r="J49"/>
  <c r="K276"/>
  <c r="K49"/>
  <c r="E49"/>
  <c r="E278"/>
  <c r="I41" i="4"/>
  <c r="I42"/>
  <c r="K260" i="3"/>
  <c r="D34" i="4"/>
  <c r="I34" s="1"/>
  <c r="H232" i="3" l="1"/>
  <c r="K114"/>
  <c r="K113" s="1"/>
  <c r="J167"/>
  <c r="J166" s="1"/>
  <c r="J165" s="1"/>
  <c r="J159" s="1"/>
  <c r="D199"/>
  <c r="H24"/>
  <c r="J233"/>
  <c r="J232" s="1"/>
  <c r="K201"/>
  <c r="K200" s="1"/>
  <c r="J114"/>
  <c r="J113" s="1"/>
  <c r="J44"/>
  <c r="J45" s="1"/>
  <c r="D67" i="4"/>
  <c r="I67" s="1"/>
  <c r="D53"/>
  <c r="I53" s="1"/>
  <c r="D66"/>
  <c r="I66" s="1"/>
  <c r="I25" i="3"/>
  <c r="J61"/>
  <c r="K283"/>
  <c r="J201"/>
  <c r="J200" s="1"/>
  <c r="K284"/>
  <c r="J301"/>
  <c r="K46"/>
  <c r="K25" s="1"/>
  <c r="J22"/>
  <c r="J18" s="1"/>
  <c r="J17" s="1"/>
  <c r="J284"/>
  <c r="J285" s="1"/>
  <c r="K286"/>
  <c r="G302"/>
  <c r="G304" s="1"/>
  <c r="K188"/>
  <c r="K181" s="1"/>
  <c r="K180" s="1"/>
  <c r="D16"/>
  <c r="J278"/>
  <c r="K97"/>
  <c r="J188"/>
  <c r="J181" s="1"/>
  <c r="J180" s="1"/>
  <c r="E199"/>
  <c r="E302" s="1"/>
  <c r="J286"/>
  <c r="I285"/>
  <c r="K44"/>
  <c r="K45" s="1"/>
  <c r="I199"/>
  <c r="K22"/>
  <c r="K18" s="1"/>
  <c r="K17" s="1"/>
  <c r="K278"/>
  <c r="J46"/>
  <c r="D285"/>
  <c r="E46"/>
  <c r="E25" s="1"/>
  <c r="E16" s="1"/>
  <c r="D302" l="1"/>
  <c r="D304" s="1"/>
  <c r="D24" i="2" s="1"/>
  <c r="D179" i="3"/>
  <c r="K24"/>
  <c r="K16"/>
  <c r="I24"/>
  <c r="D24"/>
  <c r="J199"/>
  <c r="J302" s="1"/>
  <c r="J304" s="1"/>
  <c r="H302"/>
  <c r="H304" s="1"/>
  <c r="J25"/>
  <c r="K285"/>
  <c r="I179"/>
  <c r="I302"/>
  <c r="E179"/>
  <c r="E304"/>
  <c r="K199"/>
  <c r="K302" s="1"/>
  <c r="E23" i="2"/>
  <c r="K304" i="3" l="1"/>
  <c r="J24"/>
  <c r="J16"/>
  <c r="I304"/>
  <c r="E24" i="2" s="1"/>
  <c r="J179" i="3"/>
  <c r="E24"/>
  <c r="K179"/>
  <c r="E13" i="2" l="1"/>
  <c r="E21"/>
  <c r="I23" i="4"/>
  <c r="I22"/>
  <c r="D21" l="1"/>
  <c r="D20" s="1"/>
  <c r="I21" l="1"/>
  <c r="D18" l="1"/>
  <c r="I20"/>
  <c r="D23" i="2" l="1"/>
  <c r="D13" s="1"/>
  <c r="I13" s="1"/>
</calcChain>
</file>

<file path=xl/sharedStrings.xml><?xml version="1.0" encoding="utf-8"?>
<sst xmlns="http://schemas.openxmlformats.org/spreadsheetml/2006/main" count="782" uniqueCount="506">
  <si>
    <t>Месячный отчет об исполнении бюджета</t>
  </si>
  <si>
    <t>на 01.05.05</t>
  </si>
  <si>
    <t>Периодичность: месячная</t>
  </si>
  <si>
    <t>Единица измерения: руб.</t>
  </si>
  <si>
    <t>Наименование показателя</t>
  </si>
  <si>
    <t>Исполнено</t>
  </si>
  <si>
    <t>Неисполненные назначения</t>
  </si>
  <si>
    <t>2. Расходы бюджета</t>
  </si>
  <si>
    <t>Лимиты бюджетных обязательств</t>
  </si>
  <si>
    <t>по ассигнованиям</t>
  </si>
  <si>
    <t>по лимитам бюджетных обязательств</t>
  </si>
  <si>
    <t>Заработная плата</t>
  </si>
  <si>
    <t>Услуги связи</t>
  </si>
  <si>
    <t xml:space="preserve">Транспортные услуги 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</si>
  <si>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</si>
  <si>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</si>
  <si>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</si>
  <si>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</si>
  <si>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</si>
  <si>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Перечисления другим бюджетам бюджетной системы Российской Федерации</t>
  </si>
  <si>
    <t>ВСЕГО</t>
  </si>
  <si>
    <t xml:space="preserve">Заработная плата </t>
  </si>
  <si>
    <t>оплата труда работников по  ЕТС</t>
  </si>
  <si>
    <t>на компенсацию расходов по оплате стоимости проезда и провоза багажа к месту использования отпуска и обратно</t>
  </si>
  <si>
    <t>суточные при служебных командировках и командировках на курсы повышения квалификации</t>
  </si>
  <si>
    <t>потребление электроэнергии</t>
  </si>
  <si>
    <t>водоснабжение</t>
  </si>
  <si>
    <t>прочих расходных материалов и предметов снабжения</t>
  </si>
  <si>
    <t>Увеличение стоимости материальных запасов - ГСМ</t>
  </si>
  <si>
    <t>Коммун. услуги в потребление тепловой энергии</t>
  </si>
  <si>
    <t>02030013600500212010</t>
  </si>
  <si>
    <t>код строки</t>
  </si>
  <si>
    <t>2</t>
  </si>
  <si>
    <t>3. Источники финансирования дефицитов бюджетов</t>
  </si>
  <si>
    <t xml:space="preserve"> Наименование показателя</t>
  </si>
  <si>
    <t>Код
стро-
ки</t>
  </si>
  <si>
    <t>Утвержденные бюджетные назначения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</si>
  <si>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</si>
  <si>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</si>
  <si>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</si>
  <si>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</si>
  <si>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1</t>
  </si>
  <si>
    <t>3</t>
  </si>
  <si>
    <t>Источники финансирования дефицита бюджетов - всего</t>
  </si>
  <si>
    <t>х</t>
  </si>
  <si>
    <t>-</t>
  </si>
  <si>
    <t>в том числе:</t>
  </si>
  <si>
    <t>Источники внутреннего финансирования бюджетов</t>
  </si>
  <si>
    <t xml:space="preserve">   из них:</t>
  </si>
  <si>
    <t>Источники внешнего финансирования бюджетов</t>
  </si>
  <si>
    <t xml:space="preserve">   из них</t>
  </si>
  <si>
    <t>Изменение остатков средств</t>
  </si>
  <si>
    <t>Изменение остатков по расчетам          (стр.810 + 820)</t>
  </si>
  <si>
    <t>изменение остатков по расчетам с органами, организующими исполнение бюджетов
(стр.811 + 812)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</si>
  <si>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</si>
  <si>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</si>
  <si>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внутренним расчетам (стр.821 + стр. 822)</t>
  </si>
  <si>
    <t xml:space="preserve">  в том числе:</t>
  </si>
  <si>
    <t>увеличение остатков по внутренним расчетам</t>
  </si>
  <si>
    <t xml:space="preserve">уменьшение остатков по внутренним расчетам </t>
  </si>
  <si>
    <t>А.Н. Саенко</t>
  </si>
  <si>
    <t>03145224891500310000</t>
  </si>
  <si>
    <t>03149224801500310000</t>
  </si>
  <si>
    <t>СВОД</t>
  </si>
  <si>
    <t>211010</t>
  </si>
  <si>
    <t>211020</t>
  </si>
  <si>
    <t>212010</t>
  </si>
  <si>
    <t>212020</t>
  </si>
  <si>
    <t>213010</t>
  </si>
  <si>
    <t>213020</t>
  </si>
  <si>
    <t>222000</t>
  </si>
  <si>
    <t>223010</t>
  </si>
  <si>
    <t>223020</t>
  </si>
  <si>
    <t>223030</t>
  </si>
  <si>
    <t>225020</t>
  </si>
  <si>
    <t>290000</t>
  </si>
  <si>
    <t>310000</t>
  </si>
  <si>
    <t>340030</t>
  </si>
  <si>
    <t>340050</t>
  </si>
  <si>
    <t>251000</t>
  </si>
  <si>
    <t>итого  213</t>
  </si>
  <si>
    <t>итого 211</t>
  </si>
  <si>
    <t>итого 212</t>
  </si>
  <si>
    <t>итого 223</t>
  </si>
  <si>
    <t>итого 340</t>
  </si>
  <si>
    <t>итого 213</t>
  </si>
  <si>
    <t>05036000500500225020</t>
  </si>
  <si>
    <t>01028770101500211010</t>
  </si>
  <si>
    <t>01028770101500213010</t>
  </si>
  <si>
    <t>01028770101500213020</t>
  </si>
  <si>
    <t>01020000000500211010</t>
  </si>
  <si>
    <t>01020000000500212010</t>
  </si>
  <si>
    <t>01020000000500213010</t>
  </si>
  <si>
    <t>01020000000500213020</t>
  </si>
  <si>
    <t>Итого 0102 8770101:</t>
  </si>
  <si>
    <t>01048770101500211010</t>
  </si>
  <si>
    <t>01048770101500213010</t>
  </si>
  <si>
    <t>01048770101500213020</t>
  </si>
  <si>
    <t>ВСЕГО по разделу 01 02</t>
  </si>
  <si>
    <t>СВОД 0102</t>
  </si>
  <si>
    <t>08014409201001241021</t>
  </si>
  <si>
    <t xml:space="preserve"> - страховые взносы в федеральный бюджет (22%)</t>
  </si>
  <si>
    <t xml:space="preserve"> - страховые взносы в прочие фонды (8,2%)</t>
  </si>
  <si>
    <t>Прочих расходных материалов и предметов снабжения</t>
  </si>
  <si>
    <t>241000</t>
  </si>
  <si>
    <t>225010</t>
  </si>
  <si>
    <t>Прочие расходы (Резервный фонд)</t>
  </si>
  <si>
    <t>04070700400013226000</t>
  </si>
  <si>
    <t>с 01.10.2012</t>
  </si>
  <si>
    <t>01045226202500225020</t>
  </si>
  <si>
    <t>01047956015500225020</t>
  </si>
  <si>
    <t>04070700400013340030</t>
  </si>
  <si>
    <t>04070700400013340050</t>
  </si>
  <si>
    <t>ВСЕГО 0407</t>
  </si>
  <si>
    <t>01028650000500211010</t>
  </si>
  <si>
    <t>01028650000500213010</t>
  </si>
  <si>
    <t>01028650000500213020</t>
  </si>
  <si>
    <t>Итого 0102 8650000:</t>
  </si>
  <si>
    <t>Итого 0104 8770101500:</t>
  </si>
  <si>
    <t>прочие</t>
  </si>
  <si>
    <t>0310</t>
  </si>
  <si>
    <t>01130447514244310000</t>
  </si>
  <si>
    <t>02030445118122226000</t>
  </si>
  <si>
    <t>02030445118244310000</t>
  </si>
  <si>
    <t>08010110061611241023</t>
  </si>
  <si>
    <t>08010120061611241082</t>
  </si>
  <si>
    <t xml:space="preserve">Прочие услуги 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</si>
  <si>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</si>
  <si>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</si>
  <si>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</si>
  <si>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</si>
  <si>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</si>
  <si>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</si>
  <si>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0409</t>
  </si>
  <si>
    <t>НАЦИОНАЛЬНАЯ БЕЗОПАСНОСТЬ И ПРАВООХРАНИТЕЛЬНАЯ ДЕЯТЕЛЬНОСТЬ</t>
  </si>
  <si>
    <t>Обеспечение пожарной безопасности</t>
  </si>
  <si>
    <t>Оплата работ, услуг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</si>
  <si>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</si>
  <si>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</si>
  <si>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</si>
  <si>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</si>
  <si>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КУЛЬТУРА, КИНЕМАТОГРАФИЯ</t>
  </si>
  <si>
    <t>Другие вопросы в области культуры, кинематографии</t>
  </si>
  <si>
    <t>Поступление нефинансовых активов</t>
  </si>
  <si>
    <t>Оплата труда и начисления на выплаты по оплате труда</t>
  </si>
  <si>
    <t>Начисления на выплаты по оплате труда</t>
  </si>
  <si>
    <t>Прочие выплаты</t>
  </si>
  <si>
    <t xml:space="preserve">000 0503 0000000 000 220 </t>
  </si>
  <si>
    <t xml:space="preserve">000 0503 0000000 000 000 </t>
  </si>
  <si>
    <t xml:space="preserve">000 0500 0000000 000 000 </t>
  </si>
  <si>
    <t xml:space="preserve">000 0800 0000000 000 000 </t>
  </si>
  <si>
    <t xml:space="preserve">000 0804 0000000 000 000 </t>
  </si>
  <si>
    <t xml:space="preserve">000 0804 0000000 000 210 </t>
  </si>
  <si>
    <t xml:space="preserve">000 0104 0000000 000 220 </t>
  </si>
  <si>
    <t>Увеличение стоимости материальных запасов</t>
  </si>
  <si>
    <t>Обеспечение деятельности (оказание услуг) подведомственных учреждений в рамках подпрограммы "  "Создание уловий для организации досуга и обеспечение жителей сельсовета услугами организации культуры" муниципальной программы  "Развитие культуры  муниципального образования Недокурский  сельсовет" на 2014-2016 годы</t>
  </si>
  <si>
    <t>Обеспечение деятельности (оказание услуг) подведомственных учреждений в рамках подпрограммы    "Организация  и развитие  библиотечного обслуживания населения,  обеспечение  прав граждан на свободный доступ к информации" муниципальной программы"Развитие культуры  муниципального  образования Недокурский сельсовет "на 2014-2016 годы</t>
  </si>
  <si>
    <t>Культура</t>
  </si>
  <si>
    <t>0801</t>
  </si>
  <si>
    <t>Резервный фонд</t>
  </si>
  <si>
    <t>0111</t>
  </si>
  <si>
    <t>0113</t>
  </si>
  <si>
    <t>02</t>
  </si>
  <si>
    <t>0203</t>
  </si>
  <si>
    <t>03</t>
  </si>
  <si>
    <t>04</t>
  </si>
  <si>
    <t>Физическая культура и спорт</t>
  </si>
  <si>
    <t>Массовый спорт</t>
  </si>
  <si>
    <t>1102</t>
  </si>
  <si>
    <t>11</t>
  </si>
  <si>
    <t>0104</t>
  </si>
  <si>
    <t>01</t>
  </si>
  <si>
    <t>Софинансирование расходов по энергосбережению и повышению энергетической эффективности в рамках подпрограммы  "Энергосбережение и повышение энергетической эффективности на территории муниципального образования Недокурский сельсовет" на 2014-2016 годы муниципальной программы «Улучшение жизнедеятельности населения муниципального образования Недокурский сельсовет» на 2014-2016 годы</t>
  </si>
  <si>
    <t>Увеличение стоимости материальных запасов (прочих расходных материалов и предметов снабжения)</t>
  </si>
  <si>
    <t>0102 0410022 121 211010</t>
  </si>
  <si>
    <t>0102 0410022 121 213010</t>
  </si>
  <si>
    <t>0102 0410022 121 213020</t>
  </si>
  <si>
    <t>0104 0410021 121 211010</t>
  </si>
  <si>
    <t>0104 0410021 121 211020</t>
  </si>
  <si>
    <t>0104 0410021 122 212010</t>
  </si>
  <si>
    <t>0104 0410021 122 212020</t>
  </si>
  <si>
    <t>0104 0410021 121 213010</t>
  </si>
  <si>
    <t>0104 0410021 121 213020</t>
  </si>
  <si>
    <t>0104 0410021 122 222000</t>
  </si>
  <si>
    <t>0104 0410021 244 222000</t>
  </si>
  <si>
    <t>0104 0410021 244 223010</t>
  </si>
  <si>
    <t>0104 0410021 244 223020</t>
  </si>
  <si>
    <t>0104 0410021 244 223030</t>
  </si>
  <si>
    <t>0104 0410021 244 225020</t>
  </si>
  <si>
    <t>0104 0410021 244 290000</t>
  </si>
  <si>
    <t>0104 0410021 244 340030</t>
  </si>
  <si>
    <t>0104 0410021 244 340050</t>
  </si>
  <si>
    <t>0104 0410021 852 290000</t>
  </si>
  <si>
    <t>0111 0431011 870 290000</t>
  </si>
  <si>
    <t>0113 0447514 244 340050</t>
  </si>
  <si>
    <t>0203 0445118 121 211010</t>
  </si>
  <si>
    <t>0203 0445118 122 212020</t>
  </si>
  <si>
    <t>0203 0445118 121 213010</t>
  </si>
  <si>
    <t>0203 0445118 121 213020</t>
  </si>
  <si>
    <t>0203 0445118 122 222000</t>
  </si>
  <si>
    <t>0203 0445118 244 225020</t>
  </si>
  <si>
    <t>0203 0445118 244 340050</t>
  </si>
  <si>
    <t>0409 0327508 244 225020</t>
  </si>
  <si>
    <t>0503 0334901 244 223020</t>
  </si>
  <si>
    <t>0804 0134403 112 212010</t>
  </si>
  <si>
    <t>0804 0134403 111 211020</t>
  </si>
  <si>
    <t>0804 0134403 112 212020</t>
  </si>
  <si>
    <t>0804 0134403 111 213010</t>
  </si>
  <si>
    <t>0804 0134403 111 213020</t>
  </si>
  <si>
    <t>0804 0134403 112 222000</t>
  </si>
  <si>
    <t>0804 0134403 244 225020</t>
  </si>
  <si>
    <t>0804 0134403 244 340050</t>
  </si>
  <si>
    <t>0801 0110061 611 241021</t>
  </si>
  <si>
    <t>0801 0110061 611 241010</t>
  </si>
  <si>
    <t>0801 0110061 611 241022</t>
  </si>
  <si>
    <t>0801 0110061 611 241031</t>
  </si>
  <si>
    <t>0801 0110061 611 241032</t>
  </si>
  <si>
    <t>0801 0110061 611 241040</t>
  </si>
  <si>
    <t>0801 0110061 611 241050</t>
  </si>
  <si>
    <t>0801 0110061 611 241061</t>
  </si>
  <si>
    <t>0801 0110061 611 241062</t>
  </si>
  <si>
    <t>0801 0110061 611 241063</t>
  </si>
  <si>
    <t>0801 0110061 611 241082</t>
  </si>
  <si>
    <t>0801 0110061 611 241090</t>
  </si>
  <si>
    <t>0801 0110061 611 241110</t>
  </si>
  <si>
    <t>0801 0110061 611 241135</t>
  </si>
  <si>
    <t>0801 0120061 611 241010</t>
  </si>
  <si>
    <t>0801 0120061 611 241021</t>
  </si>
  <si>
    <t>0801 0120061 611 241022</t>
  </si>
  <si>
    <t>0801 0120061 611 241031</t>
  </si>
  <si>
    <t>0801 0120061 611 241032</t>
  </si>
  <si>
    <t>0801 0120061 611 241040</t>
  </si>
  <si>
    <t>0801 0120061 611 241050</t>
  </si>
  <si>
    <t>0801 0120061 611 241090</t>
  </si>
  <si>
    <t>0801 0120061 611 241110</t>
  </si>
  <si>
    <t>0801 0120061 611 241135</t>
  </si>
  <si>
    <t>1102 0200061 611 241010</t>
  </si>
  <si>
    <t>1102 0200061 611 241031</t>
  </si>
  <si>
    <t>1102 0200061 611 241032</t>
  </si>
  <si>
    <t>0104 0344932 244 226010</t>
  </si>
  <si>
    <t>0104 0344936 244 226010</t>
  </si>
  <si>
    <t>0104 0410021 122 226010</t>
  </si>
  <si>
    <t>0104 0410021 244 221010</t>
  </si>
  <si>
    <t>0104 0410021 244 226010</t>
  </si>
  <si>
    <t>0203 0445118 122 226010</t>
  </si>
  <si>
    <t>0203 0445118 244 226010</t>
  </si>
  <si>
    <t>0310 0314931 244 226010</t>
  </si>
  <si>
    <t>0310 0314934 244 226010</t>
  </si>
  <si>
    <t>0503 0334905 244 226010</t>
  </si>
  <si>
    <t>0503 0334904 244 226010</t>
  </si>
  <si>
    <t>0804 0134403 112 226010</t>
  </si>
  <si>
    <t>0804 0134403 244 221010</t>
  </si>
  <si>
    <t>0804 0134403 244 226010</t>
  </si>
  <si>
    <t>0409 0324908 244 225020</t>
  </si>
  <si>
    <t>0409 0327508 244 226010</t>
  </si>
  <si>
    <t>226010</t>
  </si>
  <si>
    <t>221010</t>
  </si>
  <si>
    <t>0409 0324933 244 225020</t>
  </si>
  <si>
    <t>0104 0410021</t>
  </si>
  <si>
    <t>Функционирование органов местного самоуправления</t>
  </si>
  <si>
    <t xml:space="preserve"> 0102 0000000 000 210 </t>
  </si>
  <si>
    <t>Итого Начисления на выплаты по оплате труда</t>
  </si>
  <si>
    <t>0801 0111021 611 241032</t>
  </si>
  <si>
    <t>0801 0121021 611 241010</t>
  </si>
  <si>
    <t>0801 0121021 611 241031</t>
  </si>
  <si>
    <t>0801 0121021 611 241032</t>
  </si>
  <si>
    <t>0801 0120061 611 241082</t>
  </si>
  <si>
    <t>Итого МРОТ</t>
  </si>
  <si>
    <t>1102 0200061 611 241090</t>
  </si>
  <si>
    <t>0104 0444936 244 226010</t>
  </si>
  <si>
    <t>0104 0447502 244 226010</t>
  </si>
  <si>
    <t>0503 0337741 244 226010</t>
  </si>
  <si>
    <t>0503 0334938 244 226010</t>
  </si>
  <si>
    <t>10001050201100000510</t>
  </si>
  <si>
    <t>10001050201100000610</t>
  </si>
  <si>
    <t>0503 0334905 244 340050</t>
  </si>
  <si>
    <t>0203 0445118 244 310000</t>
  </si>
  <si>
    <t xml:space="preserve">                        Форма 0503127  с.3</t>
  </si>
  <si>
    <t>0104 0410021 244 310000</t>
  </si>
  <si>
    <t>1102 0200061 611 241022</t>
  </si>
  <si>
    <t>1102 0200061 611 241110</t>
  </si>
  <si>
    <t>0503</t>
  </si>
  <si>
    <t>ОТЧЕТ ОБ ИСПОЛНЕНИИ БЮДЖЕТА</t>
  </si>
  <si>
    <t>КОДЫ</t>
  </si>
  <si>
    <t xml:space="preserve">  Форма по ОКУД</t>
  </si>
  <si>
    <t xml:space="preserve">                   Дата</t>
  </si>
  <si>
    <t xml:space="preserve">             по ОКПО</t>
  </si>
  <si>
    <t>Наименование финансового органа:</t>
  </si>
  <si>
    <t>Финансовое управление администрации Кежемского района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</si>
  <si>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</si>
  <si>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</si>
  <si>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</si>
  <si>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годовая</t>
  </si>
  <si>
    <t xml:space="preserve">             по ОКЕИ</t>
  </si>
  <si>
    <t xml:space="preserve">                                 1. Доходы бюджета</t>
  </si>
  <si>
    <t>Код строки</t>
  </si>
  <si>
    <t>Код дохода по бюджетной классификации</t>
  </si>
  <si>
    <t xml:space="preserve">Утвержденные бюджетные назначения на год </t>
  </si>
  <si>
    <t>Доходы бюджета - всего</t>
  </si>
  <si>
    <t>X</t>
  </si>
  <si>
    <t>НАЛОГОВЫЕ И НЕНАЛОГОВЫЕ ДОХОДЫ</t>
  </si>
  <si>
    <t>000 10000000000000 000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</si>
  <si>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</si>
  <si>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</si>
  <si>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</si>
  <si>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</si>
  <si>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и проценты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</si>
  <si>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</si>
  <si>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</si>
  <si>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</si>
  <si>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</si>
  <si>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Налог на доходы физических лиц с доходов, полученных физическими лицамив соответствии со статьей 228 Налогового кодекса Российской Федерации (сумма денежныхвзысканий (штрафов) по соответствующему платежу согласно законодательству Российской Федерации)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</si>
  <si>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</si>
  <si>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</si>
  <si>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</si>
  <si>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</si>
  <si>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</si>
  <si>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</si>
  <si>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Налог на имущество физических лиц, взимаемый по ставкам , применяемым к объектам налогообложения, расположенным в границах поселений (прочие поступления)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</si>
  <si>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</si>
  <si>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</si>
  <si>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</si>
  <si>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</si>
  <si>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</si>
  <si>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</si>
  <si>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Доходы от использования имущества, находящегося в государственной муниципальной собственности</t>
  </si>
  <si>
    <t>Невыясненные доходы бюджетов поселений</t>
  </si>
  <si>
    <t>Прочие неналоговые доходы бюджетов поселений</t>
  </si>
  <si>
    <t>Средства самообложения граждан, зачисляемые в бюджеты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</si>
  <si>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</si>
  <si>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</si>
  <si>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</si>
  <si>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</si>
  <si>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</si>
  <si>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</si>
  <si>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Межбюджетные трансферты на государственную поддержку действующих и вновь создаваемых спортивных клубов по месту жительства граждан</t>
  </si>
  <si>
    <t>Межбюджетные трансферты на переселение граждан из аварийного жилищного фонда в муниципальных образованиях Красноярского края на 2013-2015 годы</t>
  </si>
  <si>
    <t>Межбюджетные трансферты на  энергосбережение и повышение энергетической эффективности в Красноярском крае на 2010-2012 г. и на период до 2020 г. в части расходов на реализацию мероприятий по энергосбережению и повышению энергетической эффективности   в связи с достижением наилучших показателей в области энергосбережения</t>
  </si>
  <si>
    <t xml:space="preserve">Межбюджетные трансферты 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 в рамках подпрограммы  «Дороги Красноярья» государственной программы Красноярского края «Развитие транспортной системы Красноярского края» </t>
  </si>
  <si>
    <t>Межбюджетные трансферты  на подготовку генеральных планов городских и сельских поселений, на разработку проектов планировки и межевания земельных участков для жилищного строительства, формирование и постановку земельных участков на кадастровый учет в рамках подпрограммы "Стимулирование жилищного строительства на территории Красноярского края" государственной программы Красноярского края "Создание условий для обеспечения доступным  и комфортным жильем граждан Красноярского края"</t>
  </si>
  <si>
    <t>Межбюдетные трансферты на реализацию проектов по благоустройству территорий поселений  в рамках подпрограммы «Поддержка муниципальных проектов и мероприятий по благоустройству территорий» государственной программы Красноярского края «Содействие развитию местного самоуправления»</t>
  </si>
  <si>
    <t>0503127</t>
  </si>
  <si>
    <t/>
  </si>
  <si>
    <t>900</t>
  </si>
  <si>
    <t>04624407</t>
  </si>
  <si>
    <t>383</t>
  </si>
  <si>
    <t>4</t>
  </si>
  <si>
    <t>5</t>
  </si>
  <si>
    <t>6</t>
  </si>
  <si>
    <t>010</t>
  </si>
  <si>
    <t>182 10100000000000 000</t>
  </si>
  <si>
    <t>182 10102000010000 110</t>
  </si>
  <si>
    <t>182 10102010010000 110</t>
  </si>
  <si>
    <t>182 10102010011000 110</t>
  </si>
  <si>
    <t>182 10102010012000 110</t>
  </si>
  <si>
    <t>182 10102010013000 110</t>
  </si>
  <si>
    <t>182 10102020010000 110</t>
  </si>
  <si>
    <t>182 10102020011000 110</t>
  </si>
  <si>
    <t>182 10102020012000 110</t>
  </si>
  <si>
    <t>182 10102030010000 110</t>
  </si>
  <si>
    <t>182 10102030011000 110</t>
  </si>
  <si>
    <t>182 10102030012000 110</t>
  </si>
  <si>
    <t>182 10102030013000 110</t>
  </si>
  <si>
    <t>100 10300000000000 000</t>
  </si>
  <si>
    <t>100 10302000010000 110</t>
  </si>
  <si>
    <t>100 10302230010000 110</t>
  </si>
  <si>
    <t>100 10302240010000 110</t>
  </si>
  <si>
    <t>100 10302250010000 110</t>
  </si>
  <si>
    <t>100 10302260010000 110</t>
  </si>
  <si>
    <t>182 10600000000000 000</t>
  </si>
  <si>
    <t>182 10601000000000 110</t>
  </si>
  <si>
    <t>182 10601030100000 110</t>
  </si>
  <si>
    <t>182 10601030101000 110</t>
  </si>
  <si>
    <t>182 10601030104000 110</t>
  </si>
  <si>
    <t>182 10606000000000 110</t>
  </si>
  <si>
    <t>182 10606013102000 110</t>
  </si>
  <si>
    <t>807 10800000000000 000</t>
  </si>
  <si>
    <t>807 10804000010000 110</t>
  </si>
  <si>
    <t>807 10804020010000 110</t>
  </si>
  <si>
    <t>807 10804020011000 110</t>
  </si>
  <si>
    <t>903 11105013101000 120</t>
  </si>
  <si>
    <t>807 11701050100000 180</t>
  </si>
  <si>
    <t>807 11705050100000 180</t>
  </si>
  <si>
    <t>807 11714030100000 180</t>
  </si>
  <si>
    <t>807 20000000000000 000</t>
  </si>
  <si>
    <t>807 20200000000000 000</t>
  </si>
  <si>
    <t>807 20201000000000 151</t>
  </si>
  <si>
    <t>807 20201001000000 151</t>
  </si>
  <si>
    <t>807 20201001100000 151</t>
  </si>
  <si>
    <t>807 20203000000000 151</t>
  </si>
  <si>
    <t>807 20204999100036 151</t>
  </si>
  <si>
    <t>807 20204999100039 151</t>
  </si>
  <si>
    <t>807 20204999100040 151</t>
  </si>
  <si>
    <t>807 20204999100042 151</t>
  </si>
  <si>
    <t>807 20204999100045 151</t>
  </si>
  <si>
    <t>807 20204999100046 151</t>
  </si>
  <si>
    <r>
      <rPr>
        <b/>
        <sz val="10"/>
        <rFont val="Times New Roman"/>
        <family val="1"/>
        <charset val="204"/>
      </rPr>
      <t>Непрограмные расходы</t>
    </r>
    <r>
      <rPr>
        <sz val="10"/>
        <rFont val="Times New Roman"/>
        <family val="1"/>
        <charset val="204"/>
      </rPr>
      <t xml:space="preserve">   на реализацию мероприятий по энергосбережению и повышению энергетической эффективности в связи с достижением наилучших показателей в области энергосбережения в рамках подпрограммы "Энергосбережение и повышение энергетической эффективности в Красноярском крае государственной программы Красноярского края "Реформирование и модернизация жилищно коммунального хозяйства и повышение энергетической эффективности"</t>
    </r>
  </si>
  <si>
    <t xml:space="preserve">     Форма 0503127  </t>
  </si>
  <si>
    <t>182 10606033101000 110</t>
  </si>
  <si>
    <t>182 10601030102100 110</t>
  </si>
  <si>
    <t>182 10606043101000 110</t>
  </si>
  <si>
    <t>182 10606033102100 110</t>
  </si>
  <si>
    <t>182 10606043102100 110</t>
  </si>
  <si>
    <t>Невыясненные поступления, зачисляемые в бюджеты поселений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</si>
  <si>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</si>
  <si>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</si>
  <si>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</si>
  <si>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</si>
  <si>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</si>
  <si>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</si>
  <si>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182 10904053104000 110</t>
  </si>
  <si>
    <t>900 11701050100000 180</t>
  </si>
  <si>
    <t>0409 0324933 244 226010</t>
  </si>
  <si>
    <t>0106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</si>
  <si>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</si>
  <si>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</si>
  <si>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</si>
  <si>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</si>
  <si>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</si>
  <si>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04095486</t>
  </si>
  <si>
    <t>0801 0111021 611 241010</t>
  </si>
  <si>
    <t>0801 0111021 611 241031</t>
  </si>
  <si>
    <t>0104 0410021 831 290000</t>
  </si>
  <si>
    <t>0505</t>
  </si>
  <si>
    <t>Другие вопросы в области жилищно-коммунального хозяйства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</si>
  <si>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денежных взысканий (штрафов) по соответствующему платежу в том числе по отмененному)</t>
  </si>
  <si>
    <t>807 11632000100000 140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</si>
  <si>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</si>
  <si>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Прочие неналоговые доходы бюджетов сельских поселений</t>
  </si>
  <si>
    <t>0107 0424912 880 290000</t>
  </si>
  <si>
    <t>0106 0454305 540 251000</t>
  </si>
  <si>
    <t>0104 0411021 121 213010</t>
  </si>
  <si>
    <t>0104 0411021 121 213020</t>
  </si>
  <si>
    <t>0104 0411021 121 211020</t>
  </si>
  <si>
    <t>0104 0410021 122 212030</t>
  </si>
  <si>
    <t>212030</t>
  </si>
  <si>
    <t>0409 0324908 244 226010</t>
  </si>
  <si>
    <t>0505 0464604 244 225020</t>
  </si>
  <si>
    <t>161 11633050106000 140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</si>
  <si>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</si>
  <si>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182 10606043104000 110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</si>
  <si>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</si>
  <si>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</si>
  <si>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</si>
  <si>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807 20203015100000 151</t>
  </si>
  <si>
    <t>807 20203015000000 151</t>
  </si>
  <si>
    <t>807 20203024000000 151</t>
  </si>
  <si>
    <t>Прочие межбюджетные трансферты, передаваемые бюджетам  сельских поселений</t>
  </si>
  <si>
    <t>807 20204999100000 151</t>
  </si>
  <si>
    <t xml:space="preserve">Прочие межбюджетные трансферты, передаваемые бюджетам </t>
  </si>
  <si>
    <t>807 20204999000000 151</t>
  </si>
  <si>
    <t xml:space="preserve">Иные межбюджетные трансферты </t>
  </si>
  <si>
    <t>807 20204000000000 151</t>
  </si>
  <si>
    <t>Коммунальное хозяйство</t>
  </si>
  <si>
    <t>0502</t>
  </si>
  <si>
    <t>Поддержка жилищно-коммунального хозяйства</t>
  </si>
  <si>
    <t xml:space="preserve">000 0502 0000000 000 000 </t>
  </si>
  <si>
    <t>Поддержка коммунального хозяйства</t>
  </si>
  <si>
    <t xml:space="preserve">000 0502 3000000 000 000 </t>
  </si>
  <si>
    <t>Обеспечение функционирования муниципальных органов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</si>
  <si>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 для нужд поселений  (федеральные государственные органы)</t>
  </si>
  <si>
    <t>530000</t>
  </si>
  <si>
    <t>0104 0411021 121 000000</t>
  </si>
  <si>
    <t>В.И. Качин</t>
  </si>
  <si>
    <t>0801 0124536 611 241120</t>
  </si>
  <si>
    <t>0801 0124536 611 241040</t>
  </si>
  <si>
    <t>0801 0125146 612 241040</t>
  </si>
  <si>
    <t>0801 0124536 611 241090</t>
  </si>
  <si>
    <t>Межбюджетные трансферты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в рамках подпрограммы "Обеспечение условий реализации государственной программы и прочие мероприятия" государственной программы "Развитие культуры"</t>
  </si>
  <si>
    <t>807 20204999100051 151</t>
  </si>
  <si>
    <t>000 0502 0424313 452 530000</t>
  </si>
  <si>
    <t>0102</t>
  </si>
  <si>
    <t>0801 0125146 612 241120</t>
  </si>
  <si>
    <t>0409 0327508 244 340050</t>
  </si>
  <si>
    <t>на 01 января 2016 г.</t>
  </si>
  <si>
    <t>Субвенции бюджетам на выполнение государственных полномочий по созданию и обеспечению деятельности административных комиссий в рамках непрограмных расходов органов судебной власти</t>
  </si>
  <si>
    <t>807 20203024107514 151</t>
  </si>
  <si>
    <t>Иные межбюджетные трансферты на поддержку мер по обеспечению сбалансированности бюджетов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</si>
  <si>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807 20204999100053 151</t>
  </si>
  <si>
    <t>0801 0110061 611 241120</t>
  </si>
  <si>
    <t>0804 0134403 244 310000</t>
  </si>
  <si>
    <t>0801 0120061 611 241120</t>
  </si>
  <si>
    <t>0124536</t>
  </si>
  <si>
    <t>0125146</t>
  </si>
  <si>
    <t>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</t>
  </si>
  <si>
    <t>через банковские счета</t>
  </si>
  <si>
    <t>ИТОГО</t>
  </si>
  <si>
    <t>7</t>
  </si>
  <si>
    <t>8</t>
  </si>
  <si>
    <t>9</t>
  </si>
  <si>
    <t>Бюджет Недокурского сельсовета Кежемского района Красноярского края</t>
  </si>
  <si>
    <t>Расходы бюджета- всего</t>
  </si>
  <si>
    <t>200</t>
  </si>
  <si>
    <t>Код расхода по бюджетной классификации</t>
  </si>
  <si>
    <t>Результат исполнения бюджета                      (дефицит/профицит)</t>
  </si>
  <si>
    <t>15  января 2016 г.</t>
  </si>
  <si>
    <t>Руководитель финансово-</t>
  </si>
  <si>
    <t>экономической службы</t>
  </si>
  <si>
    <t>(подпись)</t>
  </si>
  <si>
    <t>(расшифровка подписи)</t>
  </si>
  <si>
    <t>________________</t>
  </si>
  <si>
    <t>_________________________</t>
  </si>
  <si>
    <t>Глава администрации _____________</t>
  </si>
  <si>
    <t>Главный бухгалтер _______________</t>
  </si>
  <si>
    <t>Код источника финансирования по  бюджетной классификации</t>
  </si>
  <si>
    <t xml:space="preserve"> 0104 0000000 000 210 </t>
  </si>
</sst>
</file>

<file path=xl/styles.xml><?xml version="1.0" encoding="utf-8"?>
<styleSheet xmlns="http://schemas.openxmlformats.org/spreadsheetml/2006/main">
  <numFmts count="4">
    <numFmt numFmtId="164" formatCode="_-* #,##0.00_$_-;\-* #,##0.00_$_-;_-* &quot;-&quot;??_$_-;_-@_-"/>
    <numFmt numFmtId="165" formatCode="000"/>
    <numFmt numFmtId="166" formatCode="dd/mm/yyyy\ &quot;г.&quot;"/>
    <numFmt numFmtId="167" formatCode="?"/>
  </numFmts>
  <fonts count="29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9"/>
      <name val="Arial Cyr"/>
      <family val="2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Arial Cyr"/>
      <charset val="204"/>
    </font>
    <font>
      <sz val="10"/>
      <name val="Times New Roman"/>
      <family val="1"/>
      <charset val="204"/>
    </font>
    <font>
      <b/>
      <sz val="8"/>
      <name val="Arial Cyr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53"/>
      <name val="Times New Roman"/>
      <family val="1"/>
      <charset val="204"/>
    </font>
    <font>
      <sz val="10"/>
      <color indexed="53"/>
      <name val="Times New Roman"/>
      <family val="1"/>
      <charset val="204"/>
    </font>
    <font>
      <b/>
      <i/>
      <sz val="10"/>
      <color indexed="53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indexed="53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9"/>
      <name val="Arial Cyr"/>
      <charset val="204"/>
    </font>
    <font>
      <u/>
      <sz val="9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4">
    <xf numFmtId="0" fontId="0" fillId="0" borderId="0" xfId="0"/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165" fontId="2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49" fontId="0" fillId="0" borderId="0" xfId="0" applyNumberFormat="1" applyAlignment="1">
      <alignment vertical="center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/>
    </xf>
    <xf numFmtId="165" fontId="2" fillId="0" borderId="2" xfId="0" applyNumberFormat="1" applyFont="1" applyBorder="1" applyAlignment="1">
      <alignment horizontal="right" vertical="top"/>
    </xf>
    <xf numFmtId="49" fontId="2" fillId="0" borderId="2" xfId="0" applyNumberFormat="1" applyFont="1" applyBorder="1" applyAlignment="1">
      <alignment horizontal="left" vertical="top"/>
    </xf>
    <xf numFmtId="4" fontId="2" fillId="0" borderId="2" xfId="0" applyNumberFormat="1" applyFont="1" applyBorder="1" applyAlignment="1">
      <alignment horizontal="right" vertical="top"/>
    </xf>
    <xf numFmtId="49" fontId="2" fillId="0" borderId="2" xfId="0" applyNumberFormat="1" applyFont="1" applyBorder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165" fontId="5" fillId="0" borderId="0" xfId="0" applyNumberFormat="1" applyFont="1" applyAlignment="1">
      <alignment horizontal="right" vertical="top"/>
    </xf>
    <xf numFmtId="49" fontId="5" fillId="0" borderId="0" xfId="0" applyNumberFormat="1" applyFont="1" applyAlignment="1">
      <alignment horizontal="left" vertical="top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/>
    </xf>
    <xf numFmtId="4" fontId="5" fillId="0" borderId="2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centerContinuous"/>
    </xf>
    <xf numFmtId="2" fontId="0" fillId="0" borderId="0" xfId="0" applyNumberFormat="1"/>
    <xf numFmtId="2" fontId="9" fillId="0" borderId="0" xfId="0" applyNumberFormat="1" applyFont="1"/>
    <xf numFmtId="0" fontId="4" fillId="0" borderId="0" xfId="0" applyFont="1" applyAlignment="1">
      <alignment wrapText="1"/>
    </xf>
    <xf numFmtId="4" fontId="4" fillId="0" borderId="0" xfId="0" applyNumberFormat="1" applyFont="1"/>
    <xf numFmtId="165" fontId="7" fillId="0" borderId="2" xfId="0" applyNumberFormat="1" applyFont="1" applyFill="1" applyBorder="1" applyAlignment="1">
      <alignment horizontal="right" vertical="top"/>
    </xf>
    <xf numFmtId="0" fontId="7" fillId="0" borderId="0" xfId="0" applyFont="1" applyFill="1"/>
    <xf numFmtId="165" fontId="10" fillId="0" borderId="2" xfId="0" applyNumberFormat="1" applyFont="1" applyFill="1" applyBorder="1" applyAlignment="1">
      <alignment horizontal="right" vertical="top"/>
    </xf>
    <xf numFmtId="0" fontId="12" fillId="2" borderId="2" xfId="0" applyFont="1" applyFill="1" applyBorder="1" applyAlignment="1">
      <alignment horizontal="justify" wrapText="1"/>
    </xf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4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/>
    <xf numFmtId="49" fontId="10" fillId="0" borderId="0" xfId="0" applyNumberFormat="1" applyFont="1" applyAlignment="1">
      <alignment horizontal="right"/>
    </xf>
    <xf numFmtId="49" fontId="10" fillId="0" borderId="5" xfId="0" applyNumberFormat="1" applyFont="1" applyBorder="1" applyAlignment="1">
      <alignment horizontal="centerContinuous"/>
    </xf>
    <xf numFmtId="166" fontId="10" fillId="0" borderId="6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centerContinuous"/>
    </xf>
    <xf numFmtId="49" fontId="10" fillId="0" borderId="0" xfId="0" applyNumberFormat="1" applyFont="1" applyAlignment="1">
      <alignment horizontal="center" vertical="center"/>
    </xf>
    <xf numFmtId="49" fontId="10" fillId="0" borderId="8" xfId="0" applyNumberFormat="1" applyFont="1" applyBorder="1" applyAlignment="1">
      <alignment horizontal="centerContinuous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/>
    <xf numFmtId="0" fontId="10" fillId="0" borderId="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left" wrapText="1"/>
    </xf>
    <xf numFmtId="49" fontId="8" fillId="0" borderId="2" xfId="0" applyNumberFormat="1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wrapText="1"/>
    </xf>
    <xf numFmtId="49" fontId="10" fillId="0" borderId="2" xfId="0" applyNumberFormat="1" applyFont="1" applyBorder="1" applyAlignment="1">
      <alignment horizontal="center" wrapText="1"/>
    </xf>
    <xf numFmtId="4" fontId="10" fillId="0" borderId="2" xfId="0" applyNumberFormat="1" applyFont="1" applyBorder="1" applyAlignment="1">
      <alignment horizontal="center" vertical="center"/>
    </xf>
    <xf numFmtId="167" fontId="10" fillId="0" borderId="2" xfId="0" applyNumberFormat="1" applyFont="1" applyBorder="1" applyAlignment="1">
      <alignment horizontal="left" wrapText="1"/>
    </xf>
    <xf numFmtId="0" fontId="10" fillId="0" borderId="2" xfId="0" applyNumberFormat="1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0" fontId="10" fillId="0" borderId="2" xfId="0" applyFont="1" applyBorder="1" applyAlignment="1">
      <alignment vertical="top" wrapText="1"/>
    </xf>
    <xf numFmtId="165" fontId="8" fillId="0" borderId="2" xfId="0" applyNumberFormat="1" applyFont="1" applyFill="1" applyBorder="1" applyAlignment="1">
      <alignment horizontal="right" vertical="top"/>
    </xf>
    <xf numFmtId="0" fontId="8" fillId="0" borderId="0" xfId="0" applyFont="1" applyFill="1"/>
    <xf numFmtId="49" fontId="8" fillId="0" borderId="0" xfId="0" applyNumberFormat="1" applyFont="1" applyFill="1" applyAlignment="1">
      <alignment horizontal="left"/>
    </xf>
    <xf numFmtId="49" fontId="8" fillId="0" borderId="0" xfId="0" applyNumberFormat="1" applyFont="1" applyFill="1" applyAlignment="1">
      <alignment horizontal="left" vertical="top"/>
    </xf>
    <xf numFmtId="49" fontId="10" fillId="0" borderId="0" xfId="0" applyNumberFormat="1" applyFont="1" applyFill="1" applyAlignment="1">
      <alignment horizontal="left" vertical="center"/>
    </xf>
    <xf numFmtId="49" fontId="10" fillId="0" borderId="0" xfId="0" applyNumberFormat="1" applyFont="1" applyFill="1" applyAlignment="1">
      <alignment horizontal="right" vertical="center"/>
    </xf>
    <xf numFmtId="49" fontId="10" fillId="0" borderId="0" xfId="0" applyNumberFormat="1" applyFont="1" applyFill="1" applyAlignment="1">
      <alignment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left" vertical="top" wrapText="1"/>
    </xf>
    <xf numFmtId="0" fontId="10" fillId="0" borderId="0" xfId="0" applyFont="1" applyFill="1"/>
    <xf numFmtId="0" fontId="15" fillId="0" borderId="2" xfId="0" applyFont="1" applyFill="1" applyBorder="1" applyAlignment="1">
      <alignment vertical="top" wrapText="1"/>
    </xf>
    <xf numFmtId="165" fontId="7" fillId="0" borderId="2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horizontal="center"/>
    </xf>
    <xf numFmtId="49" fontId="7" fillId="0" borderId="2" xfId="0" applyNumberFormat="1" applyFont="1" applyFill="1" applyBorder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left" wrapText="1"/>
    </xf>
    <xf numFmtId="0" fontId="10" fillId="0" borderId="2" xfId="0" applyFont="1" applyFill="1" applyBorder="1" applyAlignment="1">
      <alignment vertical="top" wrapText="1"/>
    </xf>
    <xf numFmtId="49" fontId="8" fillId="0" borderId="2" xfId="0" applyNumberFormat="1" applyFont="1" applyFill="1" applyBorder="1" applyAlignment="1">
      <alignment horizontal="center" wrapText="1"/>
    </xf>
    <xf numFmtId="0" fontId="15" fillId="0" borderId="9" xfId="0" applyFont="1" applyFill="1" applyBorder="1" applyAlignment="1">
      <alignment vertical="top" wrapText="1"/>
    </xf>
    <xf numFmtId="0" fontId="10" fillId="0" borderId="2" xfId="0" applyNumberFormat="1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justify" wrapText="1"/>
    </xf>
    <xf numFmtId="0" fontId="12" fillId="2" borderId="2" xfId="0" applyFont="1" applyFill="1" applyBorder="1" applyAlignment="1">
      <alignment horizontal="justify"/>
    </xf>
    <xf numFmtId="49" fontId="8" fillId="0" borderId="2" xfId="0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horizontal="center"/>
    </xf>
    <xf numFmtId="49" fontId="8" fillId="0" borderId="2" xfId="0" applyNumberFormat="1" applyFont="1" applyFill="1" applyBorder="1" applyAlignment="1">
      <alignment horizontal="left" vertical="top" wrapText="1"/>
    </xf>
    <xf numFmtId="165" fontId="8" fillId="0" borderId="2" xfId="0" applyNumberFormat="1" applyFont="1" applyFill="1" applyBorder="1" applyAlignment="1">
      <alignment horizontal="center" vertical="top"/>
    </xf>
    <xf numFmtId="49" fontId="10" fillId="0" borderId="11" xfId="0" applyNumberFormat="1" applyFont="1" applyBorder="1" applyAlignment="1">
      <alignment horizontal="left" wrapText="1"/>
    </xf>
    <xf numFmtId="165" fontId="7" fillId="0" borderId="12" xfId="0" applyNumberFormat="1" applyFont="1" applyFill="1" applyBorder="1" applyAlignment="1">
      <alignment horizontal="center" vertical="top"/>
    </xf>
    <xf numFmtId="49" fontId="7" fillId="0" borderId="2" xfId="0" applyNumberFormat="1" applyFont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6" fillId="0" borderId="0" xfId="0" applyFont="1" applyFill="1"/>
    <xf numFmtId="49" fontId="10" fillId="0" borderId="2" xfId="0" applyNumberFormat="1" applyFont="1" applyFill="1" applyBorder="1" applyAlignment="1">
      <alignment horizontal="left" wrapText="1"/>
    </xf>
    <xf numFmtId="49" fontId="17" fillId="0" borderId="2" xfId="0" applyNumberFormat="1" applyFont="1" applyFill="1" applyBorder="1" applyAlignment="1">
      <alignment horizontal="left" vertical="top" wrapText="1"/>
    </xf>
    <xf numFmtId="165" fontId="16" fillId="0" borderId="2" xfId="0" applyNumberFormat="1" applyFont="1" applyFill="1" applyBorder="1" applyAlignment="1">
      <alignment horizontal="right" vertical="top"/>
    </xf>
    <xf numFmtId="49" fontId="16" fillId="0" borderId="2" xfId="0" applyNumberFormat="1" applyFont="1" applyFill="1" applyBorder="1" applyAlignment="1">
      <alignment horizontal="left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>
      <alignment vertical="top" wrapText="1"/>
    </xf>
    <xf numFmtId="0" fontId="14" fillId="0" borderId="0" xfId="0" applyFont="1" applyFill="1"/>
    <xf numFmtId="0" fontId="15" fillId="2" borderId="2" xfId="0" applyFont="1" applyFill="1" applyBorder="1" applyAlignment="1">
      <alignment horizontal="justify" wrapText="1"/>
    </xf>
    <xf numFmtId="49" fontId="14" fillId="0" borderId="2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wrapText="1"/>
    </xf>
    <xf numFmtId="165" fontId="8" fillId="0" borderId="2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49" fontId="7" fillId="0" borderId="10" xfId="0" applyNumberFormat="1" applyFont="1" applyFill="1" applyBorder="1" applyAlignment="1">
      <alignment horizontal="center" vertical="top" wrapText="1"/>
    </xf>
    <xf numFmtId="165" fontId="10" fillId="0" borderId="2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/>
    </xf>
    <xf numFmtId="0" fontId="15" fillId="0" borderId="10" xfId="0" applyFont="1" applyFill="1" applyBorder="1" applyAlignment="1">
      <alignment vertical="top" wrapText="1"/>
    </xf>
    <xf numFmtId="49" fontId="8" fillId="0" borderId="2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49" fontId="10" fillId="0" borderId="0" xfId="0" applyNumberFormat="1" applyFont="1" applyFill="1" applyAlignment="1">
      <alignment horizontal="left" vertical="top" wrapText="1"/>
    </xf>
    <xf numFmtId="165" fontId="10" fillId="0" borderId="0" xfId="0" applyNumberFormat="1" applyFont="1" applyFill="1" applyAlignment="1">
      <alignment horizontal="right" vertical="top"/>
    </xf>
    <xf numFmtId="0" fontId="8" fillId="0" borderId="0" xfId="0" applyFont="1"/>
    <xf numFmtId="49" fontId="10" fillId="0" borderId="2" xfId="0" quotePrefix="1" applyNumberFormat="1" applyFont="1" applyBorder="1" applyAlignment="1">
      <alignment horizontal="left" wrapText="1"/>
    </xf>
    <xf numFmtId="49" fontId="7" fillId="0" borderId="2" xfId="0" applyNumberFormat="1" applyFont="1" applyFill="1" applyBorder="1" applyAlignment="1">
      <alignment horizontal="left" vertical="top" wrapText="1"/>
    </xf>
    <xf numFmtId="165" fontId="14" fillId="0" borderId="2" xfId="0" applyNumberFormat="1" applyFont="1" applyFill="1" applyBorder="1" applyAlignment="1">
      <alignment horizontal="right" vertical="top"/>
    </xf>
    <xf numFmtId="49" fontId="14" fillId="0" borderId="2" xfId="0" applyNumberFormat="1" applyFont="1" applyFill="1" applyBorder="1" applyAlignment="1">
      <alignment horizontal="center" wrapText="1"/>
    </xf>
    <xf numFmtId="49" fontId="19" fillId="0" borderId="2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49" fontId="10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left" wrapText="1"/>
    </xf>
    <xf numFmtId="49" fontId="10" fillId="0" borderId="13" xfId="0" applyNumberFormat="1" applyFont="1" applyBorder="1" applyAlignment="1">
      <alignment wrapText="1"/>
    </xf>
    <xf numFmtId="0" fontId="20" fillId="0" borderId="0" xfId="0" applyFont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49" fontId="10" fillId="0" borderId="0" xfId="0" applyNumberFormat="1" applyFont="1" applyBorder="1" applyAlignment="1">
      <alignment horizontal="left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165" fontId="2" fillId="0" borderId="14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top" wrapText="1"/>
    </xf>
    <xf numFmtId="4" fontId="2" fillId="0" borderId="14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9" fontId="10" fillId="0" borderId="2" xfId="0" applyNumberFormat="1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Alignment="1">
      <alignment horizontal="left" vertical="top"/>
    </xf>
    <xf numFmtId="49" fontId="23" fillId="0" borderId="2" xfId="0" applyNumberFormat="1" applyFont="1" applyFill="1" applyBorder="1" applyAlignment="1">
      <alignment horizontal="left" vertical="top"/>
    </xf>
    <xf numFmtId="49" fontId="21" fillId="0" borderId="2" xfId="0" applyNumberFormat="1" applyFont="1" applyFill="1" applyBorder="1" applyAlignment="1">
      <alignment horizontal="left" vertical="top"/>
    </xf>
    <xf numFmtId="49" fontId="23" fillId="0" borderId="10" xfId="0" applyNumberFormat="1" applyFont="1" applyFill="1" applyBorder="1" applyAlignment="1">
      <alignment horizontal="left" vertical="top"/>
    </xf>
    <xf numFmtId="49" fontId="24" fillId="0" borderId="2" xfId="0" applyNumberFormat="1" applyFont="1" applyFill="1" applyBorder="1" applyAlignment="1">
      <alignment horizontal="left" vertical="top"/>
    </xf>
    <xf numFmtId="49" fontId="25" fillId="0" borderId="2" xfId="0" applyNumberFormat="1" applyFont="1" applyFill="1" applyBorder="1" applyAlignment="1">
      <alignment horizontal="left" vertical="top"/>
    </xf>
    <xf numFmtId="49" fontId="26" fillId="0" borderId="2" xfId="0" applyNumberFormat="1" applyFont="1" applyFill="1" applyBorder="1" applyAlignment="1">
      <alignment horizontal="left" vertical="top"/>
    </xf>
    <xf numFmtId="49" fontId="23" fillId="0" borderId="0" xfId="0" applyNumberFormat="1" applyFont="1" applyFill="1" applyAlignment="1">
      <alignment horizontal="left" vertical="top"/>
    </xf>
    <xf numFmtId="49" fontId="24" fillId="0" borderId="12" xfId="0" applyNumberFormat="1" applyFont="1" applyFill="1" applyBorder="1" applyAlignment="1">
      <alignment horizontal="left" vertical="top"/>
    </xf>
    <xf numFmtId="49" fontId="22" fillId="0" borderId="0" xfId="0" applyNumberFormat="1" applyFont="1" applyFill="1" applyAlignment="1">
      <alignment horizontal="left" vertical="top"/>
    </xf>
    <xf numFmtId="49" fontId="23" fillId="0" borderId="2" xfId="0" applyNumberFormat="1" applyFont="1" applyFill="1" applyBorder="1" applyAlignment="1">
      <alignment horizontal="left" vertical="top" wrapText="1"/>
    </xf>
    <xf numFmtId="49" fontId="21" fillId="0" borderId="2" xfId="0" applyNumberFormat="1" applyFont="1" applyFill="1" applyBorder="1" applyAlignment="1">
      <alignment horizontal="left" vertical="top" wrapText="1"/>
    </xf>
    <xf numFmtId="49" fontId="23" fillId="0" borderId="2" xfId="0" applyNumberFormat="1" applyFont="1" applyBorder="1" applyAlignment="1">
      <alignment horizontal="left" vertical="top"/>
    </xf>
    <xf numFmtId="49" fontId="23" fillId="0" borderId="10" xfId="0" applyNumberFormat="1" applyFont="1" applyBorder="1" applyAlignment="1">
      <alignment horizontal="left" vertical="top"/>
    </xf>
    <xf numFmtId="49" fontId="10" fillId="0" borderId="0" xfId="0" applyNumberFormat="1" applyFont="1" applyFill="1" applyAlignment="1">
      <alignment horizontal="left"/>
    </xf>
    <xf numFmtId="4" fontId="8" fillId="0" borderId="2" xfId="0" applyNumberFormat="1" applyFont="1" applyFill="1" applyBorder="1" applyAlignment="1">
      <alignment horizontal="left" vertical="center" wrapText="1"/>
    </xf>
    <xf numFmtId="4" fontId="10" fillId="0" borderId="2" xfId="0" applyNumberFormat="1" applyFont="1" applyFill="1" applyBorder="1" applyAlignment="1">
      <alignment horizontal="left" vertical="center" wrapText="1"/>
    </xf>
    <xf numFmtId="4" fontId="10" fillId="0" borderId="2" xfId="1" applyNumberFormat="1" applyFont="1" applyFill="1" applyBorder="1" applyAlignment="1">
      <alignment horizontal="left" vertical="top"/>
    </xf>
    <xf numFmtId="4" fontId="10" fillId="0" borderId="2" xfId="0" applyNumberFormat="1" applyFont="1" applyFill="1" applyBorder="1" applyAlignment="1">
      <alignment horizontal="left" vertical="top"/>
    </xf>
    <xf numFmtId="2" fontId="7" fillId="0" borderId="2" xfId="0" applyNumberFormat="1" applyFont="1" applyFill="1" applyBorder="1" applyAlignment="1">
      <alignment horizontal="left" vertical="top"/>
    </xf>
    <xf numFmtId="4" fontId="7" fillId="0" borderId="2" xfId="0" applyNumberFormat="1" applyFont="1" applyFill="1" applyBorder="1" applyAlignment="1">
      <alignment horizontal="left" vertical="top"/>
    </xf>
    <xf numFmtId="4" fontId="8" fillId="0" borderId="2" xfId="0" applyNumberFormat="1" applyFont="1" applyFill="1" applyBorder="1" applyAlignment="1">
      <alignment horizontal="left" vertical="top"/>
    </xf>
    <xf numFmtId="4" fontId="7" fillId="0" borderId="12" xfId="0" applyNumberFormat="1" applyFont="1" applyFill="1" applyBorder="1" applyAlignment="1">
      <alignment horizontal="left" vertical="top"/>
    </xf>
    <xf numFmtId="4" fontId="17" fillId="0" borderId="2" xfId="0" applyNumberFormat="1" applyFont="1" applyFill="1" applyBorder="1" applyAlignment="1">
      <alignment horizontal="left" vertical="top"/>
    </xf>
    <xf numFmtId="4" fontId="18" fillId="0" borderId="2" xfId="0" applyNumberFormat="1" applyFont="1" applyFill="1" applyBorder="1" applyAlignment="1">
      <alignment horizontal="left" vertical="top"/>
    </xf>
    <xf numFmtId="4" fontId="16" fillId="0" borderId="2" xfId="0" applyNumberFormat="1" applyFont="1" applyFill="1" applyBorder="1" applyAlignment="1">
      <alignment horizontal="left" vertical="top"/>
    </xf>
    <xf numFmtId="4" fontId="14" fillId="0" borderId="2" xfId="0" applyNumberFormat="1" applyFont="1" applyFill="1" applyBorder="1" applyAlignment="1">
      <alignment horizontal="left" vertical="top"/>
    </xf>
    <xf numFmtId="4" fontId="8" fillId="0" borderId="2" xfId="0" applyNumberFormat="1" applyFont="1" applyFill="1" applyBorder="1" applyAlignment="1">
      <alignment horizontal="left"/>
    </xf>
    <xf numFmtId="4" fontId="10" fillId="0" borderId="0" xfId="0" applyNumberFormat="1" applyFont="1" applyFill="1" applyAlignment="1">
      <alignment horizontal="left" vertical="top"/>
    </xf>
    <xf numFmtId="49" fontId="23" fillId="0" borderId="2" xfId="0" applyNumberFormat="1" applyFont="1" applyFill="1" applyBorder="1" applyAlignment="1">
      <alignment horizontal="center" wrapText="1"/>
    </xf>
    <xf numFmtId="49" fontId="23" fillId="0" borderId="0" xfId="0" applyNumberFormat="1" applyFont="1" applyFill="1" applyAlignment="1">
      <alignment horizont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27" fillId="0" borderId="13" xfId="0" applyNumberFormat="1" applyFont="1" applyBorder="1" applyAlignment="1">
      <alignment horizontal="center" vertical="top" wrapText="1"/>
    </xf>
    <xf numFmtId="49" fontId="28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right" vertical="top" wrapText="1"/>
    </xf>
    <xf numFmtId="0" fontId="8" fillId="0" borderId="13" xfId="0" applyFont="1" applyBorder="1" applyAlignment="1">
      <alignment horizontal="center"/>
    </xf>
    <xf numFmtId="165" fontId="11" fillId="0" borderId="2" xfId="0" applyNumberFormat="1" applyFont="1" applyBorder="1" applyAlignment="1">
      <alignment horizontal="right" vertical="top"/>
    </xf>
    <xf numFmtId="49" fontId="11" fillId="0" borderId="2" xfId="0" applyNumberFormat="1" applyFont="1" applyBorder="1" applyAlignment="1">
      <alignment horizontal="left" vertical="top" wrapText="1"/>
    </xf>
    <xf numFmtId="4" fontId="27" fillId="0" borderId="2" xfId="0" applyNumberFormat="1" applyFont="1" applyBorder="1" applyAlignment="1">
      <alignment horizontal="right" vertical="top"/>
    </xf>
    <xf numFmtId="4" fontId="11" fillId="0" borderId="2" xfId="0" applyNumberFormat="1" applyFont="1" applyBorder="1" applyAlignment="1">
      <alignment horizontal="right" vertical="top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2"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view="pageBreakPreview" topLeftCell="A80" zoomScale="80" zoomScaleSheetLayoutView="80" workbookViewId="0">
      <selection activeCell="F100" sqref="F100"/>
    </sheetView>
  </sheetViews>
  <sheetFormatPr defaultRowHeight="12.75"/>
  <cols>
    <col min="1" max="1" width="44" style="29" customWidth="1"/>
    <col min="2" max="2" width="9.140625" style="29" customWidth="1"/>
    <col min="3" max="3" width="26.85546875" style="29" customWidth="1"/>
    <col min="4" max="4" width="17.85546875" style="29" customWidth="1"/>
    <col min="5" max="8" width="15.28515625" style="29" customWidth="1"/>
    <col min="9" max="9" width="17" style="29" customWidth="1"/>
    <col min="10" max="16384" width="9.140625" style="29"/>
  </cols>
  <sheetData>
    <row r="1" spans="1:9" ht="24" customHeight="1" thickBot="1">
      <c r="A1" s="132" t="s">
        <v>282</v>
      </c>
      <c r="B1" s="132"/>
      <c r="C1" s="132"/>
      <c r="D1" s="132"/>
      <c r="E1" s="132"/>
      <c r="F1" s="132"/>
      <c r="G1" s="132"/>
      <c r="H1" s="133"/>
      <c r="I1" s="31" t="s">
        <v>283</v>
      </c>
    </row>
    <row r="2" spans="1:9" ht="27.75" customHeight="1">
      <c r="A2" s="134" t="s">
        <v>484</v>
      </c>
      <c r="B2" s="134"/>
      <c r="C2" s="134"/>
      <c r="D2" s="134"/>
      <c r="E2" s="134"/>
      <c r="F2" s="134"/>
      <c r="G2" s="134"/>
      <c r="H2" s="35" t="s">
        <v>284</v>
      </c>
      <c r="I2" s="36" t="s">
        <v>341</v>
      </c>
    </row>
    <row r="3" spans="1:9" ht="21" customHeight="1">
      <c r="A3" s="135" t="s">
        <v>474</v>
      </c>
      <c r="B3" s="135"/>
      <c r="C3" s="135"/>
      <c r="D3" s="135"/>
      <c r="E3" s="135"/>
      <c r="F3" s="135"/>
      <c r="G3" s="135"/>
      <c r="H3" s="30" t="s">
        <v>285</v>
      </c>
      <c r="I3" s="37">
        <v>42370</v>
      </c>
    </row>
    <row r="4" spans="1:9">
      <c r="A4" s="32"/>
      <c r="B4" s="32"/>
      <c r="C4" s="33"/>
      <c r="D4" s="34"/>
      <c r="E4" s="30"/>
      <c r="F4" s="30"/>
      <c r="G4" s="30"/>
      <c r="H4" s="30" t="s">
        <v>286</v>
      </c>
      <c r="I4" s="38" t="s">
        <v>419</v>
      </c>
    </row>
    <row r="5" spans="1:9">
      <c r="A5" s="32" t="s">
        <v>287</v>
      </c>
      <c r="B5" s="130" t="s">
        <v>288</v>
      </c>
      <c r="C5" s="131"/>
      <c r="D5" s="131"/>
      <c r="E5" s="30"/>
      <c r="F5" s="30"/>
      <c r="G5" s="30"/>
      <c r="H5" s="30" t="s">
        <v>289</v>
      </c>
      <c r="I5" s="38" t="s">
        <v>343</v>
      </c>
    </row>
    <row r="6" spans="1:9" ht="12.75" customHeight="1">
      <c r="A6" s="32" t="s">
        <v>290</v>
      </c>
      <c r="B6" s="136" t="s">
        <v>490</v>
      </c>
      <c r="C6" s="136"/>
      <c r="D6" s="136"/>
      <c r="E6" s="136"/>
      <c r="F6" s="136"/>
      <c r="G6" s="30"/>
      <c r="H6" s="30" t="s">
        <v>291</v>
      </c>
      <c r="I6" s="39" t="s">
        <v>344</v>
      </c>
    </row>
    <row r="7" spans="1:9">
      <c r="A7" s="32" t="s">
        <v>292</v>
      </c>
      <c r="B7" s="32"/>
      <c r="C7" s="33"/>
      <c r="D7" s="34"/>
      <c r="E7" s="30"/>
      <c r="F7" s="30"/>
      <c r="G7" s="30"/>
      <c r="H7" s="30"/>
      <c r="I7" s="40"/>
    </row>
    <row r="8" spans="1:9" ht="13.5" thickBot="1">
      <c r="A8" s="32" t="s">
        <v>3</v>
      </c>
      <c r="B8" s="32"/>
      <c r="C8" s="41"/>
      <c r="D8" s="34"/>
      <c r="E8" s="30"/>
      <c r="F8" s="30"/>
      <c r="G8" s="30"/>
      <c r="H8" s="30" t="s">
        <v>293</v>
      </c>
      <c r="I8" s="42" t="s">
        <v>345</v>
      </c>
    </row>
    <row r="9" spans="1:9">
      <c r="A9" s="187" t="s">
        <v>294</v>
      </c>
      <c r="B9" s="187"/>
      <c r="C9" s="187"/>
      <c r="D9" s="187"/>
      <c r="E9" s="43"/>
      <c r="F9" s="119"/>
      <c r="G9" s="119"/>
      <c r="H9" s="119"/>
      <c r="I9" s="44"/>
    </row>
    <row r="10" spans="1:9" ht="12.75" customHeight="1">
      <c r="A10" s="123" t="s">
        <v>34</v>
      </c>
      <c r="B10" s="123" t="s">
        <v>295</v>
      </c>
      <c r="C10" s="123" t="s">
        <v>296</v>
      </c>
      <c r="D10" s="122" t="s">
        <v>297</v>
      </c>
      <c r="E10" s="124" t="s">
        <v>5</v>
      </c>
      <c r="F10" s="125"/>
      <c r="G10" s="125"/>
      <c r="H10" s="126"/>
      <c r="I10" s="122" t="s">
        <v>6</v>
      </c>
    </row>
    <row r="11" spans="1:9" ht="12.75" customHeight="1">
      <c r="A11" s="123"/>
      <c r="B11" s="123"/>
      <c r="C11" s="123"/>
      <c r="D11" s="122"/>
      <c r="E11" s="127" t="s">
        <v>37</v>
      </c>
      <c r="F11" s="127" t="s">
        <v>485</v>
      </c>
      <c r="G11" s="127" t="s">
        <v>39</v>
      </c>
      <c r="H11" s="127" t="s">
        <v>486</v>
      </c>
      <c r="I11" s="122"/>
    </row>
    <row r="12" spans="1:9" ht="12.75" customHeight="1">
      <c r="A12" s="123"/>
      <c r="B12" s="123"/>
      <c r="C12" s="123"/>
      <c r="D12" s="122"/>
      <c r="E12" s="128"/>
      <c r="F12" s="128"/>
      <c r="G12" s="128"/>
      <c r="H12" s="128"/>
      <c r="I12" s="122"/>
    </row>
    <row r="13" spans="1:9" ht="12.75" customHeight="1">
      <c r="A13" s="123"/>
      <c r="B13" s="123"/>
      <c r="C13" s="123"/>
      <c r="D13" s="122"/>
      <c r="E13" s="128"/>
      <c r="F13" s="128"/>
      <c r="G13" s="128"/>
      <c r="H13" s="128"/>
      <c r="I13" s="122"/>
    </row>
    <row r="14" spans="1:9" ht="12.75" customHeight="1">
      <c r="A14" s="123"/>
      <c r="B14" s="123"/>
      <c r="C14" s="123"/>
      <c r="D14" s="122"/>
      <c r="E14" s="128"/>
      <c r="F14" s="128"/>
      <c r="G14" s="128"/>
      <c r="H14" s="128"/>
      <c r="I14" s="122"/>
    </row>
    <row r="15" spans="1:9" ht="12.75" customHeight="1">
      <c r="A15" s="123"/>
      <c r="B15" s="123"/>
      <c r="C15" s="123"/>
      <c r="D15" s="122"/>
      <c r="E15" s="128"/>
      <c r="F15" s="128"/>
      <c r="G15" s="128"/>
      <c r="H15" s="128"/>
      <c r="I15" s="122"/>
    </row>
    <row r="16" spans="1:9" ht="12.75" customHeight="1">
      <c r="A16" s="123"/>
      <c r="B16" s="123"/>
      <c r="C16" s="123"/>
      <c r="D16" s="122"/>
      <c r="E16" s="129"/>
      <c r="F16" s="129"/>
      <c r="G16" s="129"/>
      <c r="H16" s="129"/>
      <c r="I16" s="122"/>
    </row>
    <row r="17" spans="1:9" ht="12.75" customHeight="1">
      <c r="A17" s="45">
        <v>1</v>
      </c>
      <c r="B17" s="45">
        <v>2</v>
      </c>
      <c r="C17" s="45">
        <v>3</v>
      </c>
      <c r="D17" s="46" t="s">
        <v>346</v>
      </c>
      <c r="E17" s="46" t="s">
        <v>347</v>
      </c>
      <c r="F17" s="46" t="s">
        <v>348</v>
      </c>
      <c r="G17" s="46" t="s">
        <v>487</v>
      </c>
      <c r="H17" s="46" t="s">
        <v>488</v>
      </c>
      <c r="I17" s="46" t="s">
        <v>489</v>
      </c>
    </row>
    <row r="18" spans="1:9" ht="12.75" customHeight="1">
      <c r="A18" s="47" t="s">
        <v>298</v>
      </c>
      <c r="B18" s="48" t="s">
        <v>349</v>
      </c>
      <c r="C18" s="49" t="s">
        <v>299</v>
      </c>
      <c r="D18" s="50">
        <f>D20+D66</f>
        <v>9912876</v>
      </c>
      <c r="E18" s="50">
        <f>E20+E66</f>
        <v>9912650.6999999993</v>
      </c>
      <c r="F18" s="50">
        <f t="shared" ref="F18:G18" si="0">F20+F66</f>
        <v>0</v>
      </c>
      <c r="G18" s="50">
        <f t="shared" si="0"/>
        <v>0</v>
      </c>
      <c r="H18" s="50">
        <f>E20+E66</f>
        <v>9912650.6999999993</v>
      </c>
      <c r="I18" s="50">
        <f>IF(OR(D18="-",E18=D18),"-",D18-IF(E18="-",0,E18))</f>
        <v>225.30000000074506</v>
      </c>
    </row>
    <row r="19" spans="1:9" ht="12.75" customHeight="1">
      <c r="A19" s="51" t="s">
        <v>46</v>
      </c>
      <c r="B19" s="52"/>
      <c r="C19" s="46"/>
      <c r="D19" s="53"/>
      <c r="E19" s="53"/>
      <c r="F19" s="53"/>
      <c r="G19" s="53"/>
      <c r="H19" s="53"/>
      <c r="I19" s="53"/>
    </row>
    <row r="20" spans="1:9" s="113" customFormat="1" ht="21.75" customHeight="1">
      <c r="A20" s="47" t="s">
        <v>300</v>
      </c>
      <c r="B20" s="48" t="s">
        <v>342</v>
      </c>
      <c r="C20" s="49" t="s">
        <v>301</v>
      </c>
      <c r="D20" s="50">
        <f>D21+D34+D40+D53+D62+D65+D64+D57+D58+D59+D60</f>
        <v>1142133</v>
      </c>
      <c r="E20" s="50">
        <f>E21+E34+E40+E53+E62+E65+E64+E63+E60+E57+E58+E61+E59</f>
        <v>1181157.7000000002</v>
      </c>
      <c r="F20" s="50">
        <f t="shared" ref="F20:G20" si="1">F21+F34+F40+F53+F62+F65+F64+F63+F60+F57+F58+F61+F59</f>
        <v>0</v>
      </c>
      <c r="G20" s="50">
        <f t="shared" si="1"/>
        <v>0</v>
      </c>
      <c r="H20" s="50">
        <f>E21+E34+E40+E53+E62+E65+E64+E63+E60+E57+E58+E61+E59</f>
        <v>1181157.7000000002</v>
      </c>
      <c r="I20" s="50">
        <f t="shared" ref="I20:I38" si="2">IF(OR(D20="-",E20=D20),"-",D20-IF(E20="-",0,E20))</f>
        <v>-39024.700000000186</v>
      </c>
    </row>
    <row r="21" spans="1:9" ht="21.75" customHeight="1">
      <c r="A21" s="47" t="s">
        <v>302</v>
      </c>
      <c r="B21" s="48" t="s">
        <v>342</v>
      </c>
      <c r="C21" s="49" t="s">
        <v>350</v>
      </c>
      <c r="D21" s="50">
        <f>D22</f>
        <v>957148</v>
      </c>
      <c r="E21" s="50">
        <f>E22</f>
        <v>989206.41999999993</v>
      </c>
      <c r="F21" s="50">
        <f t="shared" ref="F21:G21" si="3">F22</f>
        <v>0</v>
      </c>
      <c r="G21" s="50">
        <f t="shared" si="3"/>
        <v>0</v>
      </c>
      <c r="H21" s="50">
        <f>E22</f>
        <v>989206.41999999993</v>
      </c>
      <c r="I21" s="50">
        <f t="shared" si="2"/>
        <v>-32058.419999999925</v>
      </c>
    </row>
    <row r="22" spans="1:9" ht="24" customHeight="1">
      <c r="A22" s="51" t="s">
        <v>303</v>
      </c>
      <c r="B22" s="52" t="s">
        <v>342</v>
      </c>
      <c r="C22" s="46" t="s">
        <v>351</v>
      </c>
      <c r="D22" s="53">
        <f>FIO+D27+D30</f>
        <v>957148</v>
      </c>
      <c r="E22" s="53">
        <f>E23+E27+E30</f>
        <v>989206.41999999993</v>
      </c>
      <c r="F22" s="53">
        <f t="shared" ref="F22:G22" si="4">F23+F27+F30</f>
        <v>0</v>
      </c>
      <c r="G22" s="53">
        <f t="shared" si="4"/>
        <v>0</v>
      </c>
      <c r="H22" s="53">
        <f>E23+E27+E30</f>
        <v>989206.41999999993</v>
      </c>
      <c r="I22" s="53">
        <f t="shared" si="2"/>
        <v>-32058.419999999925</v>
      </c>
    </row>
    <row r="23" spans="1:9" ht="78.75" customHeight="1">
      <c r="A23" s="51" t="s">
        <v>304</v>
      </c>
      <c r="B23" s="52" t="s">
        <v>342</v>
      </c>
      <c r="C23" s="46" t="s">
        <v>352</v>
      </c>
      <c r="D23" s="53">
        <f>D24+D25+D26</f>
        <v>496180</v>
      </c>
      <c r="E23" s="53">
        <f>E24+E25+E26</f>
        <v>528237.81999999995</v>
      </c>
      <c r="F23" s="53">
        <f t="shared" ref="F23:G23" si="5">F24+F25+F26</f>
        <v>0</v>
      </c>
      <c r="G23" s="53">
        <f t="shared" si="5"/>
        <v>0</v>
      </c>
      <c r="H23" s="53">
        <f>E24+E25+E26</f>
        <v>528237.81999999995</v>
      </c>
      <c r="I23" s="53">
        <f t="shared" si="2"/>
        <v>-32057.819999999949</v>
      </c>
    </row>
    <row r="24" spans="1:9" ht="115.5" customHeight="1">
      <c r="A24" s="54" t="s">
        <v>305</v>
      </c>
      <c r="B24" s="52" t="s">
        <v>342</v>
      </c>
      <c r="C24" s="46" t="s">
        <v>353</v>
      </c>
      <c r="D24" s="53">
        <v>496180</v>
      </c>
      <c r="E24" s="53">
        <v>528237.81999999995</v>
      </c>
      <c r="F24" s="53">
        <f t="shared" ref="F24:F81" si="6">F25+F26+F27</f>
        <v>0</v>
      </c>
      <c r="G24" s="53">
        <f t="shared" ref="G24:G81" si="7">G25+G26+G27</f>
        <v>0</v>
      </c>
      <c r="H24" s="53">
        <v>528237.81999999995</v>
      </c>
      <c r="I24" s="53">
        <f t="shared" si="2"/>
        <v>-32057.819999999949</v>
      </c>
    </row>
    <row r="25" spans="1:9" ht="94.5" hidden="1" customHeight="1">
      <c r="A25" s="54" t="s">
        <v>306</v>
      </c>
      <c r="B25" s="52" t="s">
        <v>342</v>
      </c>
      <c r="C25" s="46" t="s">
        <v>354</v>
      </c>
      <c r="D25" s="53"/>
      <c r="E25" s="53"/>
      <c r="F25" s="53">
        <f t="shared" si="6"/>
        <v>0</v>
      </c>
      <c r="G25" s="53">
        <f t="shared" si="7"/>
        <v>0</v>
      </c>
      <c r="H25" s="53"/>
      <c r="I25" s="53" t="str">
        <f t="shared" si="2"/>
        <v>-</v>
      </c>
    </row>
    <row r="26" spans="1:9" ht="119.25" hidden="1" customHeight="1">
      <c r="A26" s="54" t="s">
        <v>307</v>
      </c>
      <c r="B26" s="52" t="s">
        <v>342</v>
      </c>
      <c r="C26" s="46" t="s">
        <v>355</v>
      </c>
      <c r="D26" s="53"/>
      <c r="E26" s="53"/>
      <c r="F26" s="53">
        <f t="shared" si="6"/>
        <v>0</v>
      </c>
      <c r="G26" s="53">
        <f t="shared" si="7"/>
        <v>0</v>
      </c>
      <c r="H26" s="53"/>
      <c r="I26" s="53" t="str">
        <f t="shared" si="2"/>
        <v>-</v>
      </c>
    </row>
    <row r="27" spans="1:9" ht="114.75">
      <c r="A27" s="54" t="s">
        <v>308</v>
      </c>
      <c r="B27" s="52" t="s">
        <v>342</v>
      </c>
      <c r="C27" s="46" t="s">
        <v>356</v>
      </c>
      <c r="D27" s="53">
        <f>D28+D29</f>
        <v>454858</v>
      </c>
      <c r="E27" s="53">
        <f>E28+E29</f>
        <v>454858.5</v>
      </c>
      <c r="F27" s="53">
        <f t="shared" si="6"/>
        <v>0</v>
      </c>
      <c r="G27" s="53">
        <f t="shared" si="7"/>
        <v>0</v>
      </c>
      <c r="H27" s="53">
        <f>E28+E29</f>
        <v>454858.5</v>
      </c>
      <c r="I27" s="53">
        <f t="shared" si="2"/>
        <v>-0.5</v>
      </c>
    </row>
    <row r="28" spans="1:9" ht="158.25" customHeight="1">
      <c r="A28" s="54" t="s">
        <v>309</v>
      </c>
      <c r="B28" s="52" t="s">
        <v>342</v>
      </c>
      <c r="C28" s="46" t="s">
        <v>357</v>
      </c>
      <c r="D28" s="53">
        <f>80000+374858</f>
        <v>454858</v>
      </c>
      <c r="E28" s="53">
        <v>454858.5</v>
      </c>
      <c r="F28" s="53">
        <f t="shared" si="6"/>
        <v>0</v>
      </c>
      <c r="G28" s="53">
        <f t="shared" si="7"/>
        <v>0</v>
      </c>
      <c r="H28" s="53">
        <v>454858.5</v>
      </c>
      <c r="I28" s="53">
        <f t="shared" si="2"/>
        <v>-0.5</v>
      </c>
    </row>
    <row r="29" spans="1:9" ht="125.25" hidden="1" customHeight="1">
      <c r="A29" s="54" t="s">
        <v>310</v>
      </c>
      <c r="B29" s="52" t="s">
        <v>342</v>
      </c>
      <c r="C29" s="46" t="s">
        <v>358</v>
      </c>
      <c r="D29" s="53"/>
      <c r="E29" s="53"/>
      <c r="F29" s="53">
        <f t="shared" si="6"/>
        <v>0</v>
      </c>
      <c r="G29" s="53">
        <f t="shared" si="7"/>
        <v>0</v>
      </c>
      <c r="H29" s="53"/>
      <c r="I29" s="53" t="str">
        <f t="shared" si="2"/>
        <v>-</v>
      </c>
    </row>
    <row r="30" spans="1:9" ht="76.5" customHeight="1">
      <c r="A30" s="54" t="s">
        <v>311</v>
      </c>
      <c r="B30" s="52" t="s">
        <v>342</v>
      </c>
      <c r="C30" s="46" t="s">
        <v>359</v>
      </c>
      <c r="D30" s="53">
        <f>D31+D33+D32</f>
        <v>6110</v>
      </c>
      <c r="E30" s="53">
        <f>E31+E33+E32</f>
        <v>6110.1</v>
      </c>
      <c r="F30" s="53">
        <f t="shared" si="6"/>
        <v>0</v>
      </c>
      <c r="G30" s="53">
        <f t="shared" si="7"/>
        <v>0</v>
      </c>
      <c r="H30" s="53">
        <f>E31+E33+E32</f>
        <v>6110.1</v>
      </c>
      <c r="I30" s="53">
        <f t="shared" si="2"/>
        <v>-0.1000000000003638</v>
      </c>
    </row>
    <row r="31" spans="1:9" ht="76.5" customHeight="1">
      <c r="A31" s="54" t="s">
        <v>425</v>
      </c>
      <c r="B31" s="52" t="s">
        <v>342</v>
      </c>
      <c r="C31" s="46" t="s">
        <v>360</v>
      </c>
      <c r="D31" s="53">
        <f>5800+310</f>
        <v>6110</v>
      </c>
      <c r="E31" s="53">
        <v>6110.1</v>
      </c>
      <c r="F31" s="53">
        <f t="shared" si="6"/>
        <v>0</v>
      </c>
      <c r="G31" s="53">
        <f t="shared" si="7"/>
        <v>0</v>
      </c>
      <c r="H31" s="53">
        <v>6110.1</v>
      </c>
      <c r="I31" s="53">
        <f t="shared" si="2"/>
        <v>-0.1000000000003638</v>
      </c>
    </row>
    <row r="32" spans="1:9" ht="79.5" hidden="1" customHeight="1">
      <c r="A32" s="54" t="s">
        <v>311</v>
      </c>
      <c r="B32" s="52" t="s">
        <v>342</v>
      </c>
      <c r="C32" s="46" t="s">
        <v>361</v>
      </c>
      <c r="D32" s="53"/>
      <c r="E32" s="53"/>
      <c r="F32" s="53">
        <f t="shared" si="6"/>
        <v>0</v>
      </c>
      <c r="G32" s="53">
        <f t="shared" si="7"/>
        <v>0</v>
      </c>
      <c r="H32" s="53"/>
      <c r="I32" s="53" t="str">
        <f t="shared" si="2"/>
        <v>-</v>
      </c>
    </row>
    <row r="33" spans="1:9" ht="84.75" hidden="1" customHeight="1">
      <c r="A33" s="54" t="s">
        <v>311</v>
      </c>
      <c r="B33" s="52" t="s">
        <v>342</v>
      </c>
      <c r="C33" s="46" t="s">
        <v>362</v>
      </c>
      <c r="D33" s="53"/>
      <c r="E33" s="53"/>
      <c r="F33" s="53">
        <f t="shared" si="6"/>
        <v>0</v>
      </c>
      <c r="G33" s="53">
        <f t="shared" si="7"/>
        <v>0</v>
      </c>
      <c r="H33" s="53"/>
      <c r="I33" s="53" t="str">
        <f t="shared" si="2"/>
        <v>-</v>
      </c>
    </row>
    <row r="34" spans="1:9" ht="59.25" customHeight="1">
      <c r="A34" s="47" t="s">
        <v>312</v>
      </c>
      <c r="B34" s="48" t="s">
        <v>342</v>
      </c>
      <c r="C34" s="49" t="s">
        <v>363</v>
      </c>
      <c r="D34" s="50">
        <f>D35</f>
        <v>72400</v>
      </c>
      <c r="E34" s="50">
        <f>E35</f>
        <v>84024.35</v>
      </c>
      <c r="F34" s="50">
        <f t="shared" si="6"/>
        <v>0</v>
      </c>
      <c r="G34" s="50">
        <f t="shared" si="7"/>
        <v>0</v>
      </c>
      <c r="H34" s="50">
        <f>E35</f>
        <v>84024.35</v>
      </c>
      <c r="I34" s="50">
        <f t="shared" si="2"/>
        <v>-11624.350000000006</v>
      </c>
    </row>
    <row r="35" spans="1:9" ht="47.25" customHeight="1">
      <c r="A35" s="51" t="s">
        <v>313</v>
      </c>
      <c r="B35" s="52" t="s">
        <v>342</v>
      </c>
      <c r="C35" s="46" t="s">
        <v>364</v>
      </c>
      <c r="D35" s="53">
        <f>D36+D37+D38+D39</f>
        <v>72400</v>
      </c>
      <c r="E35" s="53">
        <f>E36+E37+E38+E39</f>
        <v>84024.35</v>
      </c>
      <c r="F35" s="53">
        <f t="shared" si="6"/>
        <v>0</v>
      </c>
      <c r="G35" s="53">
        <f t="shared" si="7"/>
        <v>0</v>
      </c>
      <c r="H35" s="53">
        <f>E36+E37+E38+E39</f>
        <v>84024.35</v>
      </c>
      <c r="I35" s="53">
        <f t="shared" si="2"/>
        <v>-11624.350000000006</v>
      </c>
    </row>
    <row r="36" spans="1:9" ht="87.75" customHeight="1">
      <c r="A36" s="51" t="s">
        <v>415</v>
      </c>
      <c r="B36" s="52" t="s">
        <v>342</v>
      </c>
      <c r="C36" s="46" t="s">
        <v>365</v>
      </c>
      <c r="D36" s="53">
        <v>22200</v>
      </c>
      <c r="E36" s="53">
        <v>29291.13</v>
      </c>
      <c r="F36" s="53">
        <f t="shared" si="6"/>
        <v>0</v>
      </c>
      <c r="G36" s="53">
        <f t="shared" si="7"/>
        <v>0</v>
      </c>
      <c r="H36" s="53">
        <v>29291.13</v>
      </c>
      <c r="I36" s="53">
        <f t="shared" si="2"/>
        <v>-7091.130000000001</v>
      </c>
    </row>
    <row r="37" spans="1:9" ht="100.5" customHeight="1">
      <c r="A37" s="55" t="s">
        <v>416</v>
      </c>
      <c r="B37" s="52" t="s">
        <v>342</v>
      </c>
      <c r="C37" s="46" t="s">
        <v>366</v>
      </c>
      <c r="D37" s="53">
        <v>800</v>
      </c>
      <c r="E37" s="53">
        <v>793.49</v>
      </c>
      <c r="F37" s="53">
        <f t="shared" si="6"/>
        <v>0</v>
      </c>
      <c r="G37" s="53">
        <f t="shared" si="7"/>
        <v>0</v>
      </c>
      <c r="H37" s="53">
        <v>793.49</v>
      </c>
      <c r="I37" s="53">
        <f t="shared" si="2"/>
        <v>6.5099999999999909</v>
      </c>
    </row>
    <row r="38" spans="1:9" ht="81.75" customHeight="1">
      <c r="A38" s="51" t="s">
        <v>417</v>
      </c>
      <c r="B38" s="52" t="s">
        <v>342</v>
      </c>
      <c r="C38" s="46" t="s">
        <v>367</v>
      </c>
      <c r="D38" s="53">
        <v>48500</v>
      </c>
      <c r="E38" s="53">
        <v>57707.040000000001</v>
      </c>
      <c r="F38" s="53">
        <f t="shared" si="6"/>
        <v>0</v>
      </c>
      <c r="G38" s="53">
        <f t="shared" si="7"/>
        <v>0</v>
      </c>
      <c r="H38" s="53">
        <v>57707.040000000001</v>
      </c>
      <c r="I38" s="53">
        <f t="shared" si="2"/>
        <v>-9207.0400000000009</v>
      </c>
    </row>
    <row r="39" spans="1:9" ht="77.25" customHeight="1">
      <c r="A39" s="51" t="s">
        <v>418</v>
      </c>
      <c r="B39" s="52" t="s">
        <v>342</v>
      </c>
      <c r="C39" s="46" t="s">
        <v>368</v>
      </c>
      <c r="D39" s="53">
        <v>900</v>
      </c>
      <c r="E39" s="53">
        <v>-3767.31</v>
      </c>
      <c r="F39" s="53">
        <f t="shared" si="6"/>
        <v>0</v>
      </c>
      <c r="G39" s="53">
        <f t="shared" si="7"/>
        <v>0</v>
      </c>
      <c r="H39" s="53">
        <v>-3767.31</v>
      </c>
      <c r="I39" s="53">
        <f>D39-E39</f>
        <v>4667.3099999999995</v>
      </c>
    </row>
    <row r="40" spans="1:9">
      <c r="A40" s="47" t="s">
        <v>314</v>
      </c>
      <c r="B40" s="48" t="s">
        <v>342</v>
      </c>
      <c r="C40" s="49" t="s">
        <v>369</v>
      </c>
      <c r="D40" s="50">
        <f>D41+D46</f>
        <v>52295</v>
      </c>
      <c r="E40" s="50">
        <f>E41+E46</f>
        <v>46042.490000000005</v>
      </c>
      <c r="F40" s="53">
        <f t="shared" si="6"/>
        <v>0</v>
      </c>
      <c r="G40" s="53">
        <f t="shared" si="7"/>
        <v>0</v>
      </c>
      <c r="H40" s="50">
        <f>E41+E46</f>
        <v>46042.490000000005</v>
      </c>
      <c r="I40" s="50">
        <f t="shared" ref="I40:I65" si="8">IF(OR(D40="-",E40=D40),"-",D40-IF(E40="-",0,E40))</f>
        <v>6252.5099999999948</v>
      </c>
    </row>
    <row r="41" spans="1:9">
      <c r="A41" s="47" t="s">
        <v>315</v>
      </c>
      <c r="B41" s="48" t="s">
        <v>342</v>
      </c>
      <c r="C41" s="49" t="s">
        <v>370</v>
      </c>
      <c r="D41" s="50">
        <f>D42</f>
        <v>33500</v>
      </c>
      <c r="E41" s="50">
        <f>E42</f>
        <v>36515.72</v>
      </c>
      <c r="F41" s="53">
        <f t="shared" si="6"/>
        <v>0</v>
      </c>
      <c r="G41" s="53">
        <f t="shared" si="7"/>
        <v>0</v>
      </c>
      <c r="H41" s="50">
        <f>E42</f>
        <v>36515.72</v>
      </c>
      <c r="I41" s="50">
        <f t="shared" si="8"/>
        <v>-3015.7200000000012</v>
      </c>
    </row>
    <row r="42" spans="1:9" ht="54" customHeight="1">
      <c r="A42" s="51" t="s">
        <v>316</v>
      </c>
      <c r="B42" s="52" t="s">
        <v>342</v>
      </c>
      <c r="C42" s="46" t="s">
        <v>371</v>
      </c>
      <c r="D42" s="53">
        <v>33500</v>
      </c>
      <c r="E42" s="53">
        <f t="shared" ref="E42" si="9">E43+E44</f>
        <v>36515.72</v>
      </c>
      <c r="F42" s="53">
        <f t="shared" si="6"/>
        <v>0</v>
      </c>
      <c r="G42" s="53">
        <f t="shared" si="7"/>
        <v>0</v>
      </c>
      <c r="H42" s="53">
        <f t="shared" ref="H42" si="10">H43+H44</f>
        <v>36515.72</v>
      </c>
      <c r="I42" s="53">
        <f t="shared" si="8"/>
        <v>-3015.7200000000012</v>
      </c>
    </row>
    <row r="43" spans="1:9" ht="86.25" customHeight="1">
      <c r="A43" s="51" t="s">
        <v>407</v>
      </c>
      <c r="B43" s="52" t="s">
        <v>342</v>
      </c>
      <c r="C43" s="46" t="s">
        <v>372</v>
      </c>
      <c r="D43" s="53"/>
      <c r="E43" s="53">
        <v>36174.01</v>
      </c>
      <c r="F43" s="53">
        <f t="shared" si="6"/>
        <v>0</v>
      </c>
      <c r="G43" s="53">
        <f t="shared" si="7"/>
        <v>0</v>
      </c>
      <c r="H43" s="53">
        <v>36174.01</v>
      </c>
      <c r="I43" s="53">
        <f t="shared" si="8"/>
        <v>-36174.01</v>
      </c>
    </row>
    <row r="44" spans="1:9" ht="57.75" customHeight="1">
      <c r="A44" s="51" t="s">
        <v>317</v>
      </c>
      <c r="B44" s="52" t="s">
        <v>342</v>
      </c>
      <c r="C44" s="46" t="s">
        <v>399</v>
      </c>
      <c r="D44" s="53"/>
      <c r="E44" s="53">
        <v>341.71</v>
      </c>
      <c r="F44" s="53">
        <f t="shared" si="6"/>
        <v>0</v>
      </c>
      <c r="G44" s="53">
        <f t="shared" si="7"/>
        <v>0</v>
      </c>
      <c r="H44" s="53">
        <v>341.71</v>
      </c>
      <c r="I44" s="53">
        <f t="shared" si="8"/>
        <v>-341.71</v>
      </c>
    </row>
    <row r="45" spans="1:9" ht="53.25" hidden="1" customHeight="1">
      <c r="A45" s="51" t="s">
        <v>318</v>
      </c>
      <c r="B45" s="52" t="s">
        <v>342</v>
      </c>
      <c r="C45" s="46" t="s">
        <v>373</v>
      </c>
      <c r="D45" s="53"/>
      <c r="E45" s="53">
        <v>0</v>
      </c>
      <c r="F45" s="53">
        <f t="shared" si="6"/>
        <v>0</v>
      </c>
      <c r="G45" s="53">
        <f t="shared" si="7"/>
        <v>0</v>
      </c>
      <c r="H45" s="53">
        <v>0</v>
      </c>
      <c r="I45" s="53" t="str">
        <f t="shared" si="8"/>
        <v>-</v>
      </c>
    </row>
    <row r="46" spans="1:9" ht="18.75" customHeight="1">
      <c r="A46" s="47" t="s">
        <v>319</v>
      </c>
      <c r="B46" s="48" t="s">
        <v>342</v>
      </c>
      <c r="C46" s="49" t="s">
        <v>374</v>
      </c>
      <c r="D46" s="50">
        <f>D48+D50+D49+D51+D52</f>
        <v>18795</v>
      </c>
      <c r="E46" s="50">
        <f>E48+E50+E49+E51+E52</f>
        <v>9526.77</v>
      </c>
      <c r="F46" s="50">
        <f t="shared" si="6"/>
        <v>0</v>
      </c>
      <c r="G46" s="50">
        <f t="shared" si="7"/>
        <v>0</v>
      </c>
      <c r="H46" s="50">
        <f>E48+E50+E49+E51+E52</f>
        <v>9526.77</v>
      </c>
      <c r="I46" s="50">
        <f t="shared" si="8"/>
        <v>9268.23</v>
      </c>
    </row>
    <row r="47" spans="1:9" ht="78" hidden="1" customHeight="1">
      <c r="A47" s="51" t="s">
        <v>320</v>
      </c>
      <c r="B47" s="52" t="s">
        <v>342</v>
      </c>
      <c r="C47" s="46" t="s">
        <v>375</v>
      </c>
      <c r="D47" s="53"/>
      <c r="E47" s="53"/>
      <c r="F47" s="53">
        <f t="shared" si="6"/>
        <v>0</v>
      </c>
      <c r="G47" s="53">
        <f t="shared" si="7"/>
        <v>0</v>
      </c>
      <c r="H47" s="53"/>
      <c r="I47" s="53" t="str">
        <f t="shared" si="8"/>
        <v>-</v>
      </c>
    </row>
    <row r="48" spans="1:9" ht="81" customHeight="1">
      <c r="A48" s="55" t="s">
        <v>408</v>
      </c>
      <c r="B48" s="52" t="s">
        <v>342</v>
      </c>
      <c r="C48" s="46" t="s">
        <v>398</v>
      </c>
      <c r="D48" s="53">
        <f>6800</f>
        <v>6800</v>
      </c>
      <c r="E48" s="53">
        <v>531.51</v>
      </c>
      <c r="F48" s="53">
        <f t="shared" si="6"/>
        <v>0</v>
      </c>
      <c r="G48" s="53">
        <f t="shared" si="7"/>
        <v>0</v>
      </c>
      <c r="H48" s="53">
        <v>531.51</v>
      </c>
      <c r="I48" s="53">
        <f t="shared" si="8"/>
        <v>6268.49</v>
      </c>
    </row>
    <row r="49" spans="1:9" ht="60" customHeight="1">
      <c r="A49" s="55" t="s">
        <v>409</v>
      </c>
      <c r="B49" s="52" t="s">
        <v>342</v>
      </c>
      <c r="C49" s="46" t="s">
        <v>401</v>
      </c>
      <c r="D49" s="53"/>
      <c r="E49" s="53">
        <v>11.84</v>
      </c>
      <c r="F49" s="53">
        <f t="shared" si="6"/>
        <v>0</v>
      </c>
      <c r="G49" s="53">
        <f t="shared" si="7"/>
        <v>0</v>
      </c>
      <c r="H49" s="53">
        <v>11.84</v>
      </c>
      <c r="I49" s="53">
        <f t="shared" si="8"/>
        <v>-11.84</v>
      </c>
    </row>
    <row r="50" spans="1:9" ht="83.25" customHeight="1">
      <c r="A50" s="55" t="s">
        <v>405</v>
      </c>
      <c r="B50" s="52" t="s">
        <v>342</v>
      </c>
      <c r="C50" s="46" t="s">
        <v>400</v>
      </c>
      <c r="D50" s="53">
        <v>11995</v>
      </c>
      <c r="E50" s="53">
        <v>8780.7199999999993</v>
      </c>
      <c r="F50" s="53">
        <f t="shared" si="6"/>
        <v>0</v>
      </c>
      <c r="G50" s="53">
        <f t="shared" si="7"/>
        <v>0</v>
      </c>
      <c r="H50" s="53">
        <v>8780.7199999999993</v>
      </c>
      <c r="I50" s="53">
        <f t="shared" si="8"/>
        <v>3214.2800000000007</v>
      </c>
    </row>
    <row r="51" spans="1:9" ht="60" customHeight="1">
      <c r="A51" s="55" t="s">
        <v>406</v>
      </c>
      <c r="B51" s="52" t="s">
        <v>342</v>
      </c>
      <c r="C51" s="46" t="s">
        <v>402</v>
      </c>
      <c r="D51" s="53"/>
      <c r="E51" s="53">
        <v>202.7</v>
      </c>
      <c r="F51" s="53">
        <f t="shared" si="6"/>
        <v>0</v>
      </c>
      <c r="G51" s="53">
        <f t="shared" si="7"/>
        <v>0</v>
      </c>
      <c r="H51" s="53">
        <v>202.7</v>
      </c>
      <c r="I51" s="53">
        <f t="shared" si="8"/>
        <v>-202.7</v>
      </c>
    </row>
    <row r="52" spans="1:9" ht="49.5" hidden="1" customHeight="1">
      <c r="A52" s="55" t="s">
        <v>439</v>
      </c>
      <c r="B52" s="52" t="s">
        <v>342</v>
      </c>
      <c r="C52" s="46" t="s">
        <v>440</v>
      </c>
      <c r="D52" s="53"/>
      <c r="E52" s="53">
        <v>0</v>
      </c>
      <c r="F52" s="53">
        <f t="shared" si="6"/>
        <v>0</v>
      </c>
      <c r="G52" s="53">
        <f t="shared" si="7"/>
        <v>0</v>
      </c>
      <c r="H52" s="53">
        <v>0</v>
      </c>
      <c r="I52" s="53" t="str">
        <f t="shared" si="8"/>
        <v>-</v>
      </c>
    </row>
    <row r="53" spans="1:9">
      <c r="A53" s="47" t="s">
        <v>321</v>
      </c>
      <c r="B53" s="48" t="s">
        <v>342</v>
      </c>
      <c r="C53" s="49" t="s">
        <v>376</v>
      </c>
      <c r="D53" s="50">
        <f t="shared" ref="D53:E55" si="11">D54</f>
        <v>24000</v>
      </c>
      <c r="E53" s="50">
        <f t="shared" si="11"/>
        <v>25595</v>
      </c>
      <c r="F53" s="50">
        <f t="shared" si="6"/>
        <v>0</v>
      </c>
      <c r="G53" s="50">
        <f t="shared" si="7"/>
        <v>0</v>
      </c>
      <c r="H53" s="50">
        <f t="shared" ref="H53:H55" si="12">H54</f>
        <v>25595</v>
      </c>
      <c r="I53" s="50">
        <f t="shared" si="8"/>
        <v>-1595</v>
      </c>
    </row>
    <row r="54" spans="1:9" ht="60" customHeight="1">
      <c r="A54" s="51" t="s">
        <v>322</v>
      </c>
      <c r="B54" s="52" t="s">
        <v>342</v>
      </c>
      <c r="C54" s="46" t="s">
        <v>377</v>
      </c>
      <c r="D54" s="53">
        <f t="shared" si="11"/>
        <v>24000</v>
      </c>
      <c r="E54" s="53">
        <f t="shared" si="11"/>
        <v>25595</v>
      </c>
      <c r="F54" s="53">
        <f t="shared" si="6"/>
        <v>0</v>
      </c>
      <c r="G54" s="53">
        <f t="shared" si="7"/>
        <v>0</v>
      </c>
      <c r="H54" s="53">
        <f t="shared" si="12"/>
        <v>25595</v>
      </c>
      <c r="I54" s="53">
        <f t="shared" si="8"/>
        <v>-1595</v>
      </c>
    </row>
    <row r="55" spans="1:9" ht="81" customHeight="1">
      <c r="A55" s="51" t="s">
        <v>323</v>
      </c>
      <c r="B55" s="52" t="s">
        <v>342</v>
      </c>
      <c r="C55" s="46" t="s">
        <v>378</v>
      </c>
      <c r="D55" s="53">
        <f t="shared" si="11"/>
        <v>24000</v>
      </c>
      <c r="E55" s="53">
        <f t="shared" si="11"/>
        <v>25595</v>
      </c>
      <c r="F55" s="53">
        <f t="shared" si="6"/>
        <v>0</v>
      </c>
      <c r="G55" s="53">
        <f t="shared" si="7"/>
        <v>0</v>
      </c>
      <c r="H55" s="53">
        <f t="shared" si="12"/>
        <v>25595</v>
      </c>
      <c r="I55" s="53">
        <f t="shared" si="8"/>
        <v>-1595</v>
      </c>
    </row>
    <row r="56" spans="1:9" ht="90" customHeight="1">
      <c r="A56" s="51" t="s">
        <v>324</v>
      </c>
      <c r="B56" s="52" t="s">
        <v>342</v>
      </c>
      <c r="C56" s="46" t="s">
        <v>379</v>
      </c>
      <c r="D56" s="53">
        <f>7000+17000</f>
        <v>24000</v>
      </c>
      <c r="E56" s="53">
        <v>25595</v>
      </c>
      <c r="F56" s="53">
        <f t="shared" si="6"/>
        <v>0</v>
      </c>
      <c r="G56" s="53">
        <f t="shared" si="7"/>
        <v>0</v>
      </c>
      <c r="H56" s="53">
        <v>25595</v>
      </c>
      <c r="I56" s="53">
        <f t="shared" si="8"/>
        <v>-1595</v>
      </c>
    </row>
    <row r="57" spans="1:9" ht="50.25" customHeight="1">
      <c r="A57" s="51" t="s">
        <v>404</v>
      </c>
      <c r="B57" s="52"/>
      <c r="C57" s="46" t="s">
        <v>410</v>
      </c>
      <c r="D57" s="53">
        <v>1605</v>
      </c>
      <c r="E57" s="53">
        <v>1604.83</v>
      </c>
      <c r="F57" s="53">
        <f t="shared" si="6"/>
        <v>0</v>
      </c>
      <c r="G57" s="53">
        <f t="shared" si="7"/>
        <v>0</v>
      </c>
      <c r="H57" s="53">
        <v>1604.83</v>
      </c>
      <c r="I57" s="53">
        <f t="shared" si="8"/>
        <v>0.17000000000007276</v>
      </c>
    </row>
    <row r="58" spans="1:9" ht="50.25" customHeight="1">
      <c r="A58" s="51" t="s">
        <v>427</v>
      </c>
      <c r="B58" s="52"/>
      <c r="C58" s="46" t="s">
        <v>426</v>
      </c>
      <c r="D58" s="53">
        <v>3340</v>
      </c>
      <c r="E58" s="53">
        <v>3339.61</v>
      </c>
      <c r="F58" s="53">
        <f t="shared" si="6"/>
        <v>0</v>
      </c>
      <c r="G58" s="53">
        <f t="shared" si="7"/>
        <v>0</v>
      </c>
      <c r="H58" s="53">
        <v>3339.61</v>
      </c>
      <c r="I58" s="53">
        <f>D58-E58</f>
        <v>0.38999999999987267</v>
      </c>
    </row>
    <row r="59" spans="1:9" ht="72.75" customHeight="1">
      <c r="A59" s="51" t="s">
        <v>460</v>
      </c>
      <c r="B59" s="52"/>
      <c r="C59" s="46" t="s">
        <v>438</v>
      </c>
      <c r="D59" s="53">
        <v>10000</v>
      </c>
      <c r="E59" s="53">
        <v>10000</v>
      </c>
      <c r="F59" s="53">
        <f t="shared" si="6"/>
        <v>0</v>
      </c>
      <c r="G59" s="53">
        <f t="shared" si="7"/>
        <v>0</v>
      </c>
      <c r="H59" s="53">
        <v>10000</v>
      </c>
      <c r="I59" s="53" t="str">
        <f t="shared" si="8"/>
        <v>-</v>
      </c>
    </row>
    <row r="60" spans="1:9" ht="33" customHeight="1">
      <c r="A60" s="51" t="s">
        <v>428</v>
      </c>
      <c r="B60" s="52"/>
      <c r="C60" s="46" t="s">
        <v>382</v>
      </c>
      <c r="D60" s="53">
        <v>3600</v>
      </c>
      <c r="E60" s="53">
        <v>3600</v>
      </c>
      <c r="F60" s="53">
        <f t="shared" si="6"/>
        <v>0</v>
      </c>
      <c r="G60" s="53">
        <f t="shared" si="7"/>
        <v>0</v>
      </c>
      <c r="H60" s="53">
        <v>3600</v>
      </c>
      <c r="I60" s="53" t="str">
        <f t="shared" si="8"/>
        <v>-</v>
      </c>
    </row>
    <row r="61" spans="1:9" ht="33" hidden="1" customHeight="1">
      <c r="A61" s="114" t="s">
        <v>403</v>
      </c>
      <c r="B61" s="52"/>
      <c r="C61" s="46" t="s">
        <v>411</v>
      </c>
      <c r="D61" s="53"/>
      <c r="E61" s="53">
        <v>0</v>
      </c>
      <c r="F61" s="53">
        <f t="shared" si="6"/>
        <v>0</v>
      </c>
      <c r="G61" s="53">
        <f t="shared" si="7"/>
        <v>0</v>
      </c>
      <c r="H61" s="53">
        <v>0</v>
      </c>
      <c r="I61" s="53" t="str">
        <f t="shared" si="8"/>
        <v>-</v>
      </c>
    </row>
    <row r="62" spans="1:9" ht="44.25" customHeight="1">
      <c r="A62" s="47" t="s">
        <v>325</v>
      </c>
      <c r="B62" s="48"/>
      <c r="C62" s="49" t="s">
        <v>380</v>
      </c>
      <c r="D62" s="50">
        <f>5800-5800</f>
        <v>0</v>
      </c>
      <c r="E62" s="50">
        <v>0</v>
      </c>
      <c r="F62" s="50">
        <f t="shared" si="6"/>
        <v>0</v>
      </c>
      <c r="G62" s="50">
        <f t="shared" si="7"/>
        <v>0</v>
      </c>
      <c r="H62" s="50">
        <v>0</v>
      </c>
      <c r="I62" s="53" t="str">
        <f t="shared" si="8"/>
        <v>-</v>
      </c>
    </row>
    <row r="63" spans="1:9" ht="12.75" hidden="1" customHeight="1">
      <c r="A63" s="51" t="s">
        <v>326</v>
      </c>
      <c r="B63" s="52"/>
      <c r="C63" s="46" t="s">
        <v>381</v>
      </c>
      <c r="D63" s="53"/>
      <c r="E63" s="53"/>
      <c r="F63" s="53">
        <f t="shared" si="6"/>
        <v>0</v>
      </c>
      <c r="G63" s="53">
        <f t="shared" si="7"/>
        <v>0</v>
      </c>
      <c r="H63" s="53"/>
      <c r="I63" s="53" t="str">
        <f t="shared" si="8"/>
        <v>-</v>
      </c>
    </row>
    <row r="64" spans="1:9" ht="12.75" hidden="1" customHeight="1">
      <c r="A64" s="51" t="s">
        <v>327</v>
      </c>
      <c r="B64" s="52"/>
      <c r="C64" s="46" t="s">
        <v>382</v>
      </c>
      <c r="D64" s="53"/>
      <c r="E64" s="53"/>
      <c r="F64" s="53">
        <f t="shared" si="6"/>
        <v>0</v>
      </c>
      <c r="G64" s="53">
        <f t="shared" si="7"/>
        <v>0</v>
      </c>
      <c r="H64" s="53"/>
      <c r="I64" s="53" t="str">
        <f t="shared" si="8"/>
        <v>-</v>
      </c>
    </row>
    <row r="65" spans="1:9" ht="25.5">
      <c r="A65" s="51" t="s">
        <v>328</v>
      </c>
      <c r="B65" s="52"/>
      <c r="C65" s="46" t="s">
        <v>383</v>
      </c>
      <c r="D65" s="53">
        <v>17745</v>
      </c>
      <c r="E65" s="53">
        <v>17745</v>
      </c>
      <c r="F65" s="53">
        <f t="shared" si="6"/>
        <v>0</v>
      </c>
      <c r="G65" s="53">
        <f t="shared" si="7"/>
        <v>0</v>
      </c>
      <c r="H65" s="53">
        <v>17745</v>
      </c>
      <c r="I65" s="53" t="str">
        <f t="shared" si="8"/>
        <v>-</v>
      </c>
    </row>
    <row r="66" spans="1:9" ht="27" customHeight="1">
      <c r="A66" s="47" t="s">
        <v>329</v>
      </c>
      <c r="B66" s="48" t="s">
        <v>342</v>
      </c>
      <c r="C66" s="49" t="s">
        <v>384</v>
      </c>
      <c r="D66" s="50">
        <f>D67</f>
        <v>8770743</v>
      </c>
      <c r="E66" s="50">
        <f t="shared" ref="E66" si="13">E67</f>
        <v>8731493</v>
      </c>
      <c r="F66" s="50">
        <f t="shared" si="6"/>
        <v>0</v>
      </c>
      <c r="G66" s="50">
        <f t="shared" si="7"/>
        <v>0</v>
      </c>
      <c r="H66" s="50">
        <f t="shared" ref="H66" si="14">H67</f>
        <v>8731493</v>
      </c>
      <c r="I66" s="50">
        <f t="shared" ref="I60:I70" si="15">IF(OR(D66="-",E66=D66),"-",D66-IF(E66="-",0,E66))</f>
        <v>39250</v>
      </c>
    </row>
    <row r="67" spans="1:9" ht="47.25" customHeight="1">
      <c r="A67" s="51" t="s">
        <v>330</v>
      </c>
      <c r="B67" s="52" t="s">
        <v>342</v>
      </c>
      <c r="C67" s="46" t="s">
        <v>385</v>
      </c>
      <c r="D67" s="53">
        <f>D68+D71+D77</f>
        <v>8770743</v>
      </c>
      <c r="E67" s="53">
        <f t="shared" ref="E67" si="16">E68+E71+E77</f>
        <v>8731493</v>
      </c>
      <c r="F67" s="53">
        <f t="shared" si="6"/>
        <v>0</v>
      </c>
      <c r="G67" s="53">
        <f t="shared" si="7"/>
        <v>0</v>
      </c>
      <c r="H67" s="53">
        <f t="shared" ref="H67" si="17">H68+H71+H77</f>
        <v>8731493</v>
      </c>
      <c r="I67" s="53">
        <f t="shared" si="15"/>
        <v>39250</v>
      </c>
    </row>
    <row r="68" spans="1:9" ht="25.5">
      <c r="A68" s="51" t="s">
        <v>331</v>
      </c>
      <c r="B68" s="52" t="s">
        <v>342</v>
      </c>
      <c r="C68" s="46" t="s">
        <v>386</v>
      </c>
      <c r="D68" s="53">
        <f>D69</f>
        <v>461142</v>
      </c>
      <c r="E68" s="53">
        <f t="shared" ref="E68:I68" si="18">E69</f>
        <v>461142</v>
      </c>
      <c r="F68" s="53">
        <f t="shared" si="6"/>
        <v>0</v>
      </c>
      <c r="G68" s="53">
        <f t="shared" si="7"/>
        <v>0</v>
      </c>
      <c r="H68" s="53">
        <f t="shared" si="18"/>
        <v>461142</v>
      </c>
      <c r="I68" s="53" t="str">
        <f t="shared" si="18"/>
        <v>-</v>
      </c>
    </row>
    <row r="69" spans="1:9" ht="25.5">
      <c r="A69" s="51" t="s">
        <v>332</v>
      </c>
      <c r="B69" s="52" t="s">
        <v>342</v>
      </c>
      <c r="C69" s="46" t="s">
        <v>387</v>
      </c>
      <c r="D69" s="53">
        <f>D70</f>
        <v>461142</v>
      </c>
      <c r="E69" s="53">
        <f>E70</f>
        <v>461142</v>
      </c>
      <c r="F69" s="53">
        <f t="shared" si="6"/>
        <v>0</v>
      </c>
      <c r="G69" s="53">
        <f t="shared" si="7"/>
        <v>0</v>
      </c>
      <c r="H69" s="53">
        <f>E70</f>
        <v>461142</v>
      </c>
      <c r="I69" s="53" t="str">
        <f t="shared" ref="I69:I86" si="19">IF(OR(D69="-",E69=D69),"-",D69-IF(E69="-",0,E69))</f>
        <v>-</v>
      </c>
    </row>
    <row r="70" spans="1:9" ht="25.5">
      <c r="A70" s="51" t="s">
        <v>333</v>
      </c>
      <c r="B70" s="52" t="s">
        <v>342</v>
      </c>
      <c r="C70" s="46" t="s">
        <v>388</v>
      </c>
      <c r="D70" s="53">
        <v>461142</v>
      </c>
      <c r="E70" s="53">
        <f>22168+438974</f>
        <v>461142</v>
      </c>
      <c r="F70" s="53">
        <f t="shared" si="6"/>
        <v>0</v>
      </c>
      <c r="G70" s="53">
        <f t="shared" si="7"/>
        <v>0</v>
      </c>
      <c r="H70" s="53">
        <f>22168+438974</f>
        <v>461142</v>
      </c>
      <c r="I70" s="53" t="str">
        <f t="shared" si="19"/>
        <v>-</v>
      </c>
    </row>
    <row r="71" spans="1:9" ht="18.75" customHeight="1">
      <c r="A71" s="51" t="s">
        <v>451</v>
      </c>
      <c r="B71" s="52"/>
      <c r="C71" s="46" t="s">
        <v>452</v>
      </c>
      <c r="D71" s="53">
        <f>D72</f>
        <v>8205969</v>
      </c>
      <c r="E71" s="53">
        <f t="shared" ref="E71:E72" si="20">E72</f>
        <v>8166719</v>
      </c>
      <c r="F71" s="53">
        <f t="shared" si="6"/>
        <v>0</v>
      </c>
      <c r="G71" s="53">
        <f t="shared" si="7"/>
        <v>0</v>
      </c>
      <c r="H71" s="53">
        <f t="shared" ref="H71:H72" si="21">H72</f>
        <v>8166719</v>
      </c>
      <c r="I71" s="53">
        <f t="shared" si="19"/>
        <v>39250</v>
      </c>
    </row>
    <row r="72" spans="1:9" ht="25.5">
      <c r="A72" s="51" t="s">
        <v>449</v>
      </c>
      <c r="B72" s="52"/>
      <c r="C72" s="46" t="s">
        <v>450</v>
      </c>
      <c r="D72" s="53">
        <f>D73</f>
        <v>8205969</v>
      </c>
      <c r="E72" s="53">
        <f t="shared" si="20"/>
        <v>8166719</v>
      </c>
      <c r="F72" s="53">
        <f t="shared" si="6"/>
        <v>0</v>
      </c>
      <c r="G72" s="53">
        <f t="shared" si="7"/>
        <v>0</v>
      </c>
      <c r="H72" s="53">
        <f t="shared" si="21"/>
        <v>8166719</v>
      </c>
      <c r="I72" s="53">
        <f t="shared" si="19"/>
        <v>39250</v>
      </c>
    </row>
    <row r="73" spans="1:9" ht="25.5">
      <c r="A73" s="51" t="s">
        <v>447</v>
      </c>
      <c r="B73" s="52" t="s">
        <v>342</v>
      </c>
      <c r="C73" s="46" t="s">
        <v>448</v>
      </c>
      <c r="D73" s="53">
        <f>D74+D75+D76</f>
        <v>8205969</v>
      </c>
      <c r="E73" s="53">
        <f t="shared" ref="E73" si="22">E74+E75+E76</f>
        <v>8166719</v>
      </c>
      <c r="F73" s="53">
        <f t="shared" si="6"/>
        <v>0</v>
      </c>
      <c r="G73" s="53">
        <f t="shared" si="7"/>
        <v>0</v>
      </c>
      <c r="H73" s="53">
        <f t="shared" ref="H73" si="23">H74+H75+H76</f>
        <v>8166719</v>
      </c>
      <c r="I73" s="53">
        <f t="shared" si="19"/>
        <v>39250</v>
      </c>
    </row>
    <row r="74" spans="1:9" ht="132.75" customHeight="1">
      <c r="A74" s="56" t="s">
        <v>477</v>
      </c>
      <c r="B74" s="52" t="s">
        <v>342</v>
      </c>
      <c r="C74" s="46" t="s">
        <v>478</v>
      </c>
      <c r="D74" s="53">
        <f>844000+6856569</f>
        <v>7700569</v>
      </c>
      <c r="E74" s="53">
        <f>1291218+6409351</f>
        <v>7700569</v>
      </c>
      <c r="F74" s="53">
        <f t="shared" si="6"/>
        <v>0</v>
      </c>
      <c r="G74" s="53">
        <f t="shared" si="7"/>
        <v>0</v>
      </c>
      <c r="H74" s="53">
        <f>1291218+6409351</f>
        <v>7700569</v>
      </c>
      <c r="I74" s="53" t="str">
        <f t="shared" si="19"/>
        <v>-</v>
      </c>
    </row>
    <row r="75" spans="1:9" ht="127.5" customHeight="1">
      <c r="A75" s="56" t="s">
        <v>338</v>
      </c>
      <c r="B75" s="58"/>
      <c r="C75" s="46" t="s">
        <v>393</v>
      </c>
      <c r="D75" s="53">
        <v>394400</v>
      </c>
      <c r="E75" s="53">
        <f>32500+361900</f>
        <v>394400</v>
      </c>
      <c r="F75" s="53">
        <f t="shared" si="6"/>
        <v>0</v>
      </c>
      <c r="G75" s="53">
        <f t="shared" si="7"/>
        <v>0</v>
      </c>
      <c r="H75" s="53">
        <f>32500+361900</f>
        <v>394400</v>
      </c>
      <c r="I75" s="53" t="str">
        <f t="shared" si="19"/>
        <v>-</v>
      </c>
    </row>
    <row r="76" spans="1:9" ht="123" customHeight="1">
      <c r="A76" s="56" t="s">
        <v>468</v>
      </c>
      <c r="B76" s="58"/>
      <c r="C76" s="46" t="s">
        <v>469</v>
      </c>
      <c r="D76" s="53">
        <f>71750+39250</f>
        <v>111000</v>
      </c>
      <c r="E76" s="53">
        <v>71750</v>
      </c>
      <c r="F76" s="53">
        <f t="shared" si="6"/>
        <v>0</v>
      </c>
      <c r="G76" s="53">
        <f t="shared" si="7"/>
        <v>0</v>
      </c>
      <c r="H76" s="53">
        <v>71750</v>
      </c>
      <c r="I76" s="53">
        <f t="shared" si="19"/>
        <v>39250</v>
      </c>
    </row>
    <row r="77" spans="1:9" ht="39" customHeight="1">
      <c r="A77" s="56" t="s">
        <v>334</v>
      </c>
      <c r="B77" s="57"/>
      <c r="C77" s="46" t="s">
        <v>389</v>
      </c>
      <c r="D77" s="53">
        <f>D78+D80</f>
        <v>103632</v>
      </c>
      <c r="E77" s="53">
        <f t="shared" ref="E77" si="24">E78+E80</f>
        <v>103632</v>
      </c>
      <c r="F77" s="53">
        <f t="shared" si="6"/>
        <v>0</v>
      </c>
      <c r="G77" s="53">
        <f t="shared" si="7"/>
        <v>0</v>
      </c>
      <c r="H77" s="53">
        <f t="shared" ref="H77" si="25">H78+H80</f>
        <v>103632</v>
      </c>
      <c r="I77" s="53" t="str">
        <f t="shared" si="19"/>
        <v>-</v>
      </c>
    </row>
    <row r="78" spans="1:9" ht="50.25" customHeight="1">
      <c r="A78" s="56" t="s">
        <v>441</v>
      </c>
      <c r="B78" s="57"/>
      <c r="C78" s="46" t="s">
        <v>445</v>
      </c>
      <c r="D78" s="53">
        <f t="shared" ref="D78:E78" si="26">D79</f>
        <v>101446</v>
      </c>
      <c r="E78" s="53">
        <f t="shared" si="26"/>
        <v>101446</v>
      </c>
      <c r="F78" s="53">
        <f t="shared" si="6"/>
        <v>0</v>
      </c>
      <c r="G78" s="53">
        <f t="shared" si="7"/>
        <v>0</v>
      </c>
      <c r="H78" s="53">
        <f t="shared" ref="H78" si="27">H79</f>
        <v>101446</v>
      </c>
      <c r="I78" s="53" t="str">
        <f t="shared" si="19"/>
        <v>-</v>
      </c>
    </row>
    <row r="79" spans="1:9" ht="57.75" customHeight="1">
      <c r="A79" s="56" t="s">
        <v>442</v>
      </c>
      <c r="B79" s="57"/>
      <c r="C79" s="46" t="s">
        <v>444</v>
      </c>
      <c r="D79" s="53">
        <f>83500-7054+25000</f>
        <v>101446</v>
      </c>
      <c r="E79" s="53">
        <f>5787+95659</f>
        <v>101446</v>
      </c>
      <c r="F79" s="53">
        <f t="shared" si="6"/>
        <v>0</v>
      </c>
      <c r="G79" s="53">
        <f t="shared" si="7"/>
        <v>0</v>
      </c>
      <c r="H79" s="53">
        <f>5787+95659</f>
        <v>101446</v>
      </c>
      <c r="I79" s="53" t="str">
        <f t="shared" si="19"/>
        <v>-</v>
      </c>
    </row>
    <row r="80" spans="1:9" ht="49.5" customHeight="1">
      <c r="A80" s="56" t="s">
        <v>443</v>
      </c>
      <c r="B80" s="58"/>
      <c r="C80" s="46" t="s">
        <v>446</v>
      </c>
      <c r="D80" s="53">
        <f>D81</f>
        <v>2186</v>
      </c>
      <c r="E80" s="53">
        <f>E81</f>
        <v>2186</v>
      </c>
      <c r="F80" s="53">
        <f t="shared" si="6"/>
        <v>0</v>
      </c>
      <c r="G80" s="53">
        <f t="shared" si="7"/>
        <v>0</v>
      </c>
      <c r="H80" s="53">
        <f>E81</f>
        <v>2186</v>
      </c>
      <c r="I80" s="53" t="str">
        <f t="shared" si="19"/>
        <v>-</v>
      </c>
    </row>
    <row r="81" spans="1:9" ht="64.5" customHeight="1">
      <c r="A81" s="56" t="s">
        <v>475</v>
      </c>
      <c r="B81" s="58"/>
      <c r="C81" s="46" t="s">
        <v>476</v>
      </c>
      <c r="D81" s="53">
        <f>2206-20</f>
        <v>2186</v>
      </c>
      <c r="E81" s="53">
        <v>2186</v>
      </c>
      <c r="F81" s="53">
        <f t="shared" si="6"/>
        <v>0</v>
      </c>
      <c r="G81" s="53">
        <f t="shared" si="7"/>
        <v>0</v>
      </c>
      <c r="H81" s="53">
        <v>2186</v>
      </c>
      <c r="I81" s="53" t="str">
        <f t="shared" si="19"/>
        <v>-</v>
      </c>
    </row>
    <row r="82" spans="1:9" ht="54" hidden="1" customHeight="1">
      <c r="A82" s="59" t="s">
        <v>335</v>
      </c>
      <c r="B82" s="58"/>
      <c r="C82" s="46" t="s">
        <v>390</v>
      </c>
      <c r="D82" s="53"/>
      <c r="E82" s="53"/>
      <c r="F82" s="53"/>
      <c r="G82" s="53"/>
      <c r="H82" s="53"/>
      <c r="I82" s="53" t="str">
        <f t="shared" si="19"/>
        <v>-</v>
      </c>
    </row>
    <row r="83" spans="1:9" ht="62.25" hidden="1" customHeight="1">
      <c r="A83" s="59" t="s">
        <v>336</v>
      </c>
      <c r="B83" s="58"/>
      <c r="C83" s="46" t="s">
        <v>391</v>
      </c>
      <c r="D83" s="53"/>
      <c r="E83" s="53"/>
      <c r="F83" s="53"/>
      <c r="G83" s="53"/>
      <c r="H83" s="53"/>
      <c r="I83" s="53" t="str">
        <f t="shared" si="19"/>
        <v>-</v>
      </c>
    </row>
    <row r="84" spans="1:9" ht="114" hidden="1" customHeight="1">
      <c r="A84" s="56" t="s">
        <v>337</v>
      </c>
      <c r="B84" s="58"/>
      <c r="C84" s="46" t="s">
        <v>392</v>
      </c>
      <c r="D84" s="53"/>
      <c r="E84" s="53"/>
      <c r="F84" s="53"/>
      <c r="G84" s="53"/>
      <c r="H84" s="53"/>
      <c r="I84" s="53" t="str">
        <f t="shared" si="19"/>
        <v>-</v>
      </c>
    </row>
    <row r="85" spans="1:9" ht="144.75" hidden="1" customHeight="1">
      <c r="A85" s="56" t="s">
        <v>339</v>
      </c>
      <c r="B85" s="58"/>
      <c r="C85" s="46" t="s">
        <v>394</v>
      </c>
      <c r="D85" s="53"/>
      <c r="E85" s="53"/>
      <c r="F85" s="53"/>
      <c r="G85" s="53"/>
      <c r="H85" s="53"/>
      <c r="I85" s="53" t="str">
        <f t="shared" si="19"/>
        <v>-</v>
      </c>
    </row>
    <row r="86" spans="1:9" ht="99.75" hidden="1" customHeight="1">
      <c r="A86" s="56" t="s">
        <v>340</v>
      </c>
      <c r="B86" s="58"/>
      <c r="C86" s="46" t="s">
        <v>395</v>
      </c>
      <c r="D86" s="53"/>
      <c r="E86" s="53"/>
      <c r="F86" s="53"/>
      <c r="G86" s="53"/>
      <c r="H86" s="53"/>
      <c r="I86" s="53" t="str">
        <f t="shared" si="19"/>
        <v>-</v>
      </c>
    </row>
  </sheetData>
  <mergeCells count="16">
    <mergeCell ref="B5:D5"/>
    <mergeCell ref="A9:D9"/>
    <mergeCell ref="A1:H1"/>
    <mergeCell ref="A2:G2"/>
    <mergeCell ref="A3:G3"/>
    <mergeCell ref="B6:F6"/>
    <mergeCell ref="I10:I16"/>
    <mergeCell ref="A10:A16"/>
    <mergeCell ref="B10:B16"/>
    <mergeCell ref="C10:C16"/>
    <mergeCell ref="D10:D16"/>
    <mergeCell ref="E10:H10"/>
    <mergeCell ref="E11:E16"/>
    <mergeCell ref="F11:F16"/>
    <mergeCell ref="G11:G16"/>
    <mergeCell ref="H11:H16"/>
  </mergeCells>
  <conditionalFormatting sqref="I69:I86 I18:I67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6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5"/>
  <sheetViews>
    <sheetView view="pageBreakPreview" topLeftCell="A290" zoomScaleSheetLayoutView="100" workbookViewId="0">
      <selection activeCell="C15" sqref="C15"/>
    </sheetView>
  </sheetViews>
  <sheetFormatPr defaultRowHeight="12.75"/>
  <cols>
    <col min="1" max="1" width="41" style="111" customWidth="1"/>
    <col min="2" max="2" width="4.7109375" style="112" customWidth="1"/>
    <col min="3" max="3" width="22.140625" style="159" customWidth="1"/>
    <col min="4" max="4" width="13.5703125" style="180" customWidth="1"/>
    <col min="5" max="5" width="12.7109375" style="180" customWidth="1"/>
    <col min="6" max="6" width="12.5703125" style="180" customWidth="1"/>
    <col min="7" max="8" width="9.140625" style="180" customWidth="1"/>
    <col min="9" max="9" width="11.85546875" style="180" customWidth="1"/>
    <col min="10" max="10" width="10.140625" style="180" customWidth="1"/>
    <col min="11" max="11" width="11.28515625" style="180" customWidth="1"/>
    <col min="12" max="16384" width="9.140625" style="72"/>
  </cols>
  <sheetData>
    <row r="1" spans="1:11" s="62" customFormat="1" ht="30" hidden="1" customHeight="1">
      <c r="C1" s="152" t="s">
        <v>0</v>
      </c>
    </row>
    <row r="2" spans="1:11" s="62" customFormat="1" ht="12.75" hidden="1" customHeight="1">
      <c r="A2" s="63"/>
      <c r="B2" s="63"/>
      <c r="C2" s="152"/>
      <c r="D2" s="63"/>
      <c r="E2" s="63"/>
      <c r="F2" s="63"/>
      <c r="G2" s="63"/>
      <c r="H2" s="63"/>
      <c r="I2" s="63"/>
      <c r="J2" s="63"/>
      <c r="K2" s="63"/>
    </row>
    <row r="3" spans="1:11" s="62" customFormat="1" ht="12.75" hidden="1" customHeight="1">
      <c r="A3" s="63"/>
      <c r="B3" s="63"/>
      <c r="C3" s="152" t="s">
        <v>1</v>
      </c>
      <c r="D3" s="63"/>
      <c r="E3" s="63"/>
      <c r="F3" s="63"/>
      <c r="G3" s="63"/>
      <c r="H3" s="63"/>
      <c r="I3" s="63"/>
      <c r="J3" s="63"/>
      <c r="K3" s="63"/>
    </row>
    <row r="4" spans="1:11" s="62" customFormat="1" ht="12.75" hidden="1" customHeight="1">
      <c r="A4" s="63"/>
      <c r="B4" s="63"/>
      <c r="C4" s="152"/>
      <c r="D4" s="63"/>
      <c r="E4" s="63"/>
      <c r="F4" s="63"/>
      <c r="G4" s="63"/>
      <c r="H4" s="63"/>
      <c r="I4" s="63"/>
      <c r="J4" s="63"/>
      <c r="K4" s="63"/>
    </row>
    <row r="5" spans="1:11" s="62" customFormat="1" ht="12.75" hidden="1" customHeight="1">
      <c r="A5" s="63"/>
      <c r="B5" s="63"/>
      <c r="C5" s="152"/>
      <c r="D5" s="63"/>
      <c r="E5" s="63"/>
      <c r="F5" s="63"/>
      <c r="G5" s="63"/>
      <c r="H5" s="63"/>
      <c r="I5" s="63"/>
      <c r="J5" s="63"/>
      <c r="K5" s="63"/>
    </row>
    <row r="6" spans="1:11" s="62" customFormat="1" ht="12.75" hidden="1" customHeight="1">
      <c r="A6" s="63" t="s">
        <v>2</v>
      </c>
      <c r="B6" s="63"/>
      <c r="C6" s="152"/>
      <c r="D6" s="63"/>
      <c r="E6" s="63"/>
      <c r="F6" s="63"/>
      <c r="G6" s="63"/>
      <c r="H6" s="63"/>
      <c r="I6" s="63"/>
      <c r="J6" s="63"/>
      <c r="K6" s="63"/>
    </row>
    <row r="7" spans="1:11" s="62" customFormat="1" ht="12.75" hidden="1" customHeight="1">
      <c r="A7" s="63" t="s">
        <v>3</v>
      </c>
      <c r="B7" s="63"/>
      <c r="C7" s="152"/>
      <c r="D7" s="63"/>
      <c r="E7" s="63"/>
      <c r="F7" s="63"/>
      <c r="G7" s="63"/>
      <c r="H7" s="63"/>
      <c r="I7" s="63"/>
      <c r="J7" s="63"/>
      <c r="K7" s="63"/>
    </row>
    <row r="8" spans="1:11" s="62" customFormat="1">
      <c r="A8" s="63"/>
      <c r="B8" s="63"/>
      <c r="C8" s="152"/>
      <c r="D8" s="63"/>
      <c r="E8" s="63"/>
      <c r="F8" s="63"/>
      <c r="G8" s="63"/>
      <c r="H8" s="63"/>
      <c r="I8" s="63"/>
      <c r="J8" s="166" t="s">
        <v>397</v>
      </c>
    </row>
    <row r="9" spans="1:11" s="62" customFormat="1">
      <c r="A9" s="63"/>
      <c r="B9" s="63"/>
      <c r="C9" s="63" t="s">
        <v>7</v>
      </c>
      <c r="D9" s="63"/>
      <c r="E9" s="63"/>
      <c r="F9" s="63"/>
      <c r="G9" s="63"/>
      <c r="H9" s="63"/>
      <c r="I9" s="63"/>
      <c r="J9" s="63"/>
    </row>
    <row r="10" spans="1:11" s="66" customFormat="1">
      <c r="A10" s="64"/>
      <c r="B10" s="65"/>
      <c r="C10" s="161"/>
      <c r="D10" s="64"/>
      <c r="E10" s="64"/>
      <c r="F10" s="64"/>
      <c r="G10" s="64"/>
      <c r="H10" s="64"/>
      <c r="I10" s="64"/>
      <c r="J10" s="64"/>
      <c r="K10" s="64"/>
    </row>
    <row r="11" spans="1:11" s="68" customFormat="1" ht="25.5" customHeight="1">
      <c r="A11" s="137" t="s">
        <v>4</v>
      </c>
      <c r="B11" s="137" t="s">
        <v>31</v>
      </c>
      <c r="C11" s="192" t="s">
        <v>493</v>
      </c>
      <c r="D11" s="138" t="s">
        <v>36</v>
      </c>
      <c r="E11" s="137" t="s">
        <v>8</v>
      </c>
      <c r="F11" s="149" t="s">
        <v>5</v>
      </c>
      <c r="G11" s="150"/>
      <c r="H11" s="150"/>
      <c r="I11" s="151"/>
      <c r="J11" s="149" t="s">
        <v>6</v>
      </c>
      <c r="K11" s="151"/>
    </row>
    <row r="12" spans="1:11" s="68" customFormat="1" ht="39" customHeight="1">
      <c r="A12" s="137"/>
      <c r="B12" s="137"/>
      <c r="C12" s="193"/>
      <c r="D12" s="138"/>
      <c r="E12" s="137"/>
      <c r="F12" s="148" t="s">
        <v>37</v>
      </c>
      <c r="G12" s="148" t="s">
        <v>485</v>
      </c>
      <c r="H12" s="148" t="s">
        <v>39</v>
      </c>
      <c r="I12" s="148" t="s">
        <v>486</v>
      </c>
      <c r="J12" s="147" t="s">
        <v>9</v>
      </c>
      <c r="K12" s="147" t="s">
        <v>10</v>
      </c>
    </row>
    <row r="13" spans="1:11" s="182" customFormat="1" ht="11.25">
      <c r="A13" s="181">
        <v>1</v>
      </c>
      <c r="B13" s="181" t="s">
        <v>32</v>
      </c>
      <c r="C13" s="181">
        <v>3</v>
      </c>
      <c r="D13" s="181">
        <v>4</v>
      </c>
      <c r="E13" s="181">
        <v>5</v>
      </c>
      <c r="F13" s="181">
        <v>6</v>
      </c>
      <c r="G13" s="181">
        <v>7</v>
      </c>
      <c r="H13" s="181">
        <v>8</v>
      </c>
      <c r="I13" s="181">
        <v>9</v>
      </c>
      <c r="J13" s="181">
        <v>10</v>
      </c>
      <c r="K13" s="181">
        <v>11</v>
      </c>
    </row>
    <row r="14" spans="1:11" s="68" customFormat="1">
      <c r="A14" s="183" t="s">
        <v>491</v>
      </c>
      <c r="B14" s="69" t="s">
        <v>492</v>
      </c>
      <c r="C14" s="162"/>
      <c r="D14" s="167">
        <v>9966126.9900000002</v>
      </c>
      <c r="E14" s="167">
        <v>9966126.9900000002</v>
      </c>
      <c r="F14" s="167">
        <v>9521637.2100000009</v>
      </c>
      <c r="G14" s="173">
        <v>0</v>
      </c>
      <c r="H14" s="173">
        <v>0</v>
      </c>
      <c r="I14" s="167">
        <v>9521637.2100000009</v>
      </c>
      <c r="J14" s="167">
        <v>444489.78</v>
      </c>
      <c r="K14" s="167">
        <v>444489.78</v>
      </c>
    </row>
    <row r="15" spans="1:11" s="68" customFormat="1">
      <c r="A15" s="120" t="s">
        <v>46</v>
      </c>
      <c r="B15" s="120"/>
      <c r="C15" s="162"/>
      <c r="D15" s="147"/>
      <c r="E15" s="147"/>
      <c r="F15" s="147"/>
      <c r="G15" s="147"/>
      <c r="H15" s="147"/>
      <c r="I15" s="147"/>
      <c r="J15" s="147"/>
      <c r="K15" s="147"/>
    </row>
    <row r="16" spans="1:11" s="68" customFormat="1">
      <c r="A16" s="47" t="s">
        <v>127</v>
      </c>
      <c r="B16" s="67"/>
      <c r="C16" s="163" t="s">
        <v>171</v>
      </c>
      <c r="D16" s="167">
        <f>D17+D25+D97+D109+D88+D92+D95</f>
        <v>5531186.2700000005</v>
      </c>
      <c r="E16" s="167">
        <f>E17+E25+E97+E109+E88+E92+E95</f>
        <v>5531186.2700000005</v>
      </c>
      <c r="F16" s="167">
        <f t="shared" ref="F16" si="0">F17+F25+F97+F109+F88+F92+F95</f>
        <v>5194325.55</v>
      </c>
      <c r="G16" s="167">
        <f t="shared" ref="G16:K16" si="1">G17+G25+G97+G109+G88+G92+G95</f>
        <v>0</v>
      </c>
      <c r="H16" s="167">
        <f t="shared" si="1"/>
        <v>0</v>
      </c>
      <c r="I16" s="167">
        <f t="shared" si="1"/>
        <v>5194325.55</v>
      </c>
      <c r="J16" s="167">
        <f t="shared" si="1"/>
        <v>336860.62</v>
      </c>
      <c r="K16" s="167">
        <f t="shared" si="1"/>
        <v>336860.62</v>
      </c>
    </row>
    <row r="17" spans="1:11" s="70" customFormat="1" ht="36.75" customHeight="1">
      <c r="A17" s="47" t="s">
        <v>128</v>
      </c>
      <c r="B17" s="69"/>
      <c r="C17" s="163" t="s">
        <v>471</v>
      </c>
      <c r="D17" s="167">
        <f>D18</f>
        <v>864000.43</v>
      </c>
      <c r="E17" s="167">
        <f t="shared" ref="E17:K17" si="2">E18</f>
        <v>864000.43</v>
      </c>
      <c r="F17" s="167">
        <f t="shared" si="2"/>
        <v>864000.43</v>
      </c>
      <c r="G17" s="167">
        <f t="shared" si="2"/>
        <v>0</v>
      </c>
      <c r="H17" s="167">
        <f t="shared" si="2"/>
        <v>0</v>
      </c>
      <c r="I17" s="167">
        <f t="shared" si="2"/>
        <v>864000.43</v>
      </c>
      <c r="J17" s="167">
        <f t="shared" si="2"/>
        <v>0</v>
      </c>
      <c r="K17" s="167">
        <f t="shared" si="2"/>
        <v>0</v>
      </c>
    </row>
    <row r="18" spans="1:11" s="68" customFormat="1" ht="22.5" customHeight="1">
      <c r="A18" s="51" t="s">
        <v>144</v>
      </c>
      <c r="B18" s="67"/>
      <c r="C18" s="164" t="s">
        <v>260</v>
      </c>
      <c r="D18" s="168">
        <f t="shared" ref="D18:K18" si="3">D19+D22</f>
        <v>864000.43</v>
      </c>
      <c r="E18" s="168">
        <f t="shared" si="3"/>
        <v>864000.43</v>
      </c>
      <c r="F18" s="168">
        <f t="shared" ref="F18" si="4">F19+F22</f>
        <v>864000.43</v>
      </c>
      <c r="G18" s="168">
        <f t="shared" si="3"/>
        <v>0</v>
      </c>
      <c r="H18" s="168">
        <f t="shared" si="3"/>
        <v>0</v>
      </c>
      <c r="I18" s="168">
        <f t="shared" si="3"/>
        <v>864000.43</v>
      </c>
      <c r="J18" s="168">
        <f t="shared" si="3"/>
        <v>0</v>
      </c>
      <c r="K18" s="168">
        <f t="shared" si="3"/>
        <v>0</v>
      </c>
    </row>
    <row r="19" spans="1:11" ht="18.75" customHeight="1">
      <c r="A19" s="71" t="s">
        <v>21</v>
      </c>
      <c r="B19" s="27"/>
      <c r="C19" s="153" t="s">
        <v>174</v>
      </c>
      <c r="D19" s="169">
        <f>476519+149000+50000-11235.6</f>
        <v>664283.4</v>
      </c>
      <c r="E19" s="169">
        <f>476519+149000+50000-11235.6</f>
        <v>664283.4</v>
      </c>
      <c r="F19" s="170">
        <f>631120.4+33163</f>
        <v>664283.4</v>
      </c>
      <c r="G19" s="170">
        <v>0</v>
      </c>
      <c r="H19" s="170">
        <v>0</v>
      </c>
      <c r="I19" s="170">
        <f>631120.4+33163</f>
        <v>664283.4</v>
      </c>
      <c r="J19" s="170">
        <f>D19-I19</f>
        <v>0</v>
      </c>
      <c r="K19" s="170">
        <f>E19-I19</f>
        <v>0</v>
      </c>
    </row>
    <row r="20" spans="1:11" ht="25.5">
      <c r="A20" s="73" t="s">
        <v>101</v>
      </c>
      <c r="B20" s="27"/>
      <c r="C20" s="153" t="s">
        <v>175</v>
      </c>
      <c r="D20" s="170">
        <f>104834+41000-191.97</f>
        <v>145642.03</v>
      </c>
      <c r="E20" s="170">
        <f>104834+41000-191.97</f>
        <v>145642.03</v>
      </c>
      <c r="F20" s="170">
        <f>104834+40808.03</f>
        <v>145642.03</v>
      </c>
      <c r="G20" s="170">
        <v>0</v>
      </c>
      <c r="H20" s="170">
        <v>0</v>
      </c>
      <c r="I20" s="170">
        <f>104834+40808.03</f>
        <v>145642.03</v>
      </c>
      <c r="J20" s="170">
        <f>D20-I20</f>
        <v>0</v>
      </c>
      <c r="K20" s="170">
        <f>E20-I20</f>
        <v>0</v>
      </c>
    </row>
    <row r="21" spans="1:11" ht="14.25" customHeight="1">
      <c r="A21" s="73" t="s">
        <v>102</v>
      </c>
      <c r="B21" s="27"/>
      <c r="C21" s="153" t="s">
        <v>176</v>
      </c>
      <c r="D21" s="170">
        <f>39075+15000+1973.88-1973.88</f>
        <v>54075</v>
      </c>
      <c r="E21" s="170">
        <f>39075+15000+1973.88-1973.88</f>
        <v>54075</v>
      </c>
      <c r="F21" s="170">
        <f>46988.72+1183+5903.28</f>
        <v>54075</v>
      </c>
      <c r="G21" s="170">
        <v>0</v>
      </c>
      <c r="H21" s="170">
        <v>0</v>
      </c>
      <c r="I21" s="170">
        <f>46988.72+1183+5903.28</f>
        <v>54075</v>
      </c>
      <c r="J21" s="170">
        <f>D21-I21</f>
        <v>0</v>
      </c>
      <c r="K21" s="170">
        <f>E21-I21</f>
        <v>0</v>
      </c>
    </row>
    <row r="22" spans="1:11" s="75" customFormat="1" ht="13.5">
      <c r="A22" s="51" t="s">
        <v>145</v>
      </c>
      <c r="B22" s="74"/>
      <c r="C22" s="156"/>
      <c r="D22" s="171">
        <f t="shared" ref="D22:K22" si="5">SUM(D20:D21)</f>
        <v>199717.03</v>
      </c>
      <c r="E22" s="172">
        <f t="shared" si="5"/>
        <v>199717.03</v>
      </c>
      <c r="F22" s="172">
        <f t="shared" ref="F22" si="6">SUM(F20:F21)</f>
        <v>199717.03</v>
      </c>
      <c r="G22" s="172">
        <f t="shared" si="5"/>
        <v>0</v>
      </c>
      <c r="H22" s="172">
        <f t="shared" si="5"/>
        <v>0</v>
      </c>
      <c r="I22" s="172">
        <f t="shared" si="5"/>
        <v>199717.03</v>
      </c>
      <c r="J22" s="172">
        <f t="shared" si="5"/>
        <v>0</v>
      </c>
      <c r="K22" s="172">
        <f t="shared" si="5"/>
        <v>0</v>
      </c>
    </row>
    <row r="23" spans="1:11" s="75" customFormat="1" ht="13.5">
      <c r="A23" s="76"/>
      <c r="B23" s="74"/>
      <c r="C23" s="156"/>
      <c r="D23" s="171"/>
      <c r="E23" s="172"/>
      <c r="F23" s="172"/>
      <c r="G23" s="172"/>
      <c r="H23" s="172"/>
      <c r="I23" s="172"/>
      <c r="J23" s="172"/>
      <c r="K23" s="172"/>
    </row>
    <row r="24" spans="1:11" s="75" customFormat="1" ht="64.5">
      <c r="A24" s="47" t="s">
        <v>129</v>
      </c>
      <c r="B24" s="74"/>
      <c r="C24" s="156" t="s">
        <v>170</v>
      </c>
      <c r="D24" s="172">
        <f>D25+D88+D84</f>
        <v>4592761.8400000008</v>
      </c>
      <c r="E24" s="172">
        <f t="shared" ref="E24:K24" si="7">E25+E88+E84</f>
        <v>4592761.8400000008</v>
      </c>
      <c r="F24" s="172">
        <f t="shared" ref="F24" si="8">F25+F88+F84</f>
        <v>4255901.12</v>
      </c>
      <c r="G24" s="172">
        <f t="shared" si="7"/>
        <v>0</v>
      </c>
      <c r="H24" s="172">
        <f t="shared" si="7"/>
        <v>0</v>
      </c>
      <c r="I24" s="172">
        <f t="shared" si="7"/>
        <v>4255901.12</v>
      </c>
      <c r="J24" s="172">
        <f t="shared" si="7"/>
        <v>336860.62</v>
      </c>
      <c r="K24" s="172">
        <f t="shared" si="7"/>
        <v>336860.62</v>
      </c>
    </row>
    <row r="25" spans="1:11" s="61" customFormat="1" ht="27">
      <c r="A25" s="76" t="s">
        <v>259</v>
      </c>
      <c r="B25" s="60"/>
      <c r="C25" s="154" t="s">
        <v>258</v>
      </c>
      <c r="D25" s="173">
        <f>D46+D58+D59+D61+D70+D75+D72+D77+D76+D80+D83</f>
        <v>4592761.8400000008</v>
      </c>
      <c r="E25" s="173">
        <f t="shared" ref="E25:I25" si="9">E46+E58+E59+E61+E70+E75+E72+E77+E76+E80+E83</f>
        <v>4592761.8400000008</v>
      </c>
      <c r="F25" s="173">
        <f t="shared" ref="F25" si="10">F46+F58+F59+F61+F70+F75+F72+F77+F76+F80+F83</f>
        <v>4255901.12</v>
      </c>
      <c r="G25" s="173">
        <f t="shared" si="9"/>
        <v>0</v>
      </c>
      <c r="H25" s="173">
        <f t="shared" si="9"/>
        <v>0</v>
      </c>
      <c r="I25" s="173">
        <f t="shared" si="9"/>
        <v>4255901.12</v>
      </c>
      <c r="J25" s="173">
        <f t="shared" ref="J25:K25" si="11">J46+J58+J59+J61+J70+J75+J72+J77+J76</f>
        <v>336860.62</v>
      </c>
      <c r="K25" s="173">
        <f t="shared" si="11"/>
        <v>336860.62</v>
      </c>
    </row>
    <row r="26" spans="1:11" ht="12.75" hidden="1" customHeight="1">
      <c r="A26" s="71" t="s">
        <v>21</v>
      </c>
      <c r="B26" s="27"/>
      <c r="C26" s="153" t="s">
        <v>114</v>
      </c>
      <c r="D26" s="170"/>
      <c r="E26" s="170"/>
      <c r="F26" s="170"/>
      <c r="G26" s="170"/>
      <c r="H26" s="170"/>
      <c r="I26" s="170"/>
      <c r="J26" s="170">
        <f>D26-I26</f>
        <v>0</v>
      </c>
      <c r="K26" s="170">
        <f>E26-I26</f>
        <v>0</v>
      </c>
    </row>
    <row r="27" spans="1:11" ht="12.75" hidden="1" customHeight="1">
      <c r="A27" s="73" t="s">
        <v>101</v>
      </c>
      <c r="B27" s="27"/>
      <c r="C27" s="153" t="s">
        <v>115</v>
      </c>
      <c r="D27" s="170"/>
      <c r="E27" s="170"/>
      <c r="F27" s="170"/>
      <c r="G27" s="170"/>
      <c r="H27" s="170"/>
      <c r="I27" s="170"/>
      <c r="J27" s="170">
        <f>D27-I27</f>
        <v>0</v>
      </c>
      <c r="K27" s="170">
        <f>E27-I27</f>
        <v>0</v>
      </c>
    </row>
    <row r="28" spans="1:11" ht="14.25" hidden="1" customHeight="1">
      <c r="A28" s="73" t="s">
        <v>102</v>
      </c>
      <c r="B28" s="27"/>
      <c r="C28" s="153" t="s">
        <v>116</v>
      </c>
      <c r="D28" s="170"/>
      <c r="E28" s="170"/>
      <c r="F28" s="170"/>
      <c r="G28" s="170"/>
      <c r="H28" s="170"/>
      <c r="I28" s="170"/>
      <c r="J28" s="170">
        <f>D28-I28</f>
        <v>0</v>
      </c>
      <c r="K28" s="170">
        <f>E28-I28</f>
        <v>0</v>
      </c>
    </row>
    <row r="29" spans="1:11" s="75" customFormat="1" ht="13.5" hidden="1" customHeight="1">
      <c r="A29" s="76" t="s">
        <v>80</v>
      </c>
      <c r="B29" s="74"/>
      <c r="C29" s="156"/>
      <c r="D29" s="172">
        <f t="shared" ref="D29:K29" si="12">SUM(D27:D28)</f>
        <v>0</v>
      </c>
      <c r="E29" s="172">
        <f t="shared" si="12"/>
        <v>0</v>
      </c>
      <c r="F29" s="172">
        <f t="shared" ref="F29" si="13">SUM(F27:F28)</f>
        <v>0</v>
      </c>
      <c r="G29" s="172">
        <f t="shared" si="12"/>
        <v>0</v>
      </c>
      <c r="H29" s="172">
        <f t="shared" si="12"/>
        <v>0</v>
      </c>
      <c r="I29" s="172">
        <f t="shared" si="12"/>
        <v>0</v>
      </c>
      <c r="J29" s="172">
        <f t="shared" si="12"/>
        <v>0</v>
      </c>
      <c r="K29" s="172">
        <f t="shared" si="12"/>
        <v>0</v>
      </c>
    </row>
    <row r="30" spans="1:11" s="61" customFormat="1" ht="12.75" hidden="1" customHeight="1">
      <c r="A30" s="77" t="s">
        <v>117</v>
      </c>
      <c r="B30" s="60"/>
      <c r="C30" s="153"/>
      <c r="D30" s="173">
        <f>D26+D29</f>
        <v>0</v>
      </c>
      <c r="E30" s="173">
        <f t="shared" ref="E30:K30" si="14">E26+E29</f>
        <v>0</v>
      </c>
      <c r="F30" s="173">
        <f t="shared" ref="F30" si="15">F26+F29</f>
        <v>0</v>
      </c>
      <c r="G30" s="173">
        <f t="shared" si="14"/>
        <v>0</v>
      </c>
      <c r="H30" s="173">
        <f t="shared" si="14"/>
        <v>0</v>
      </c>
      <c r="I30" s="173">
        <f t="shared" si="14"/>
        <v>0</v>
      </c>
      <c r="J30" s="173">
        <f t="shared" si="14"/>
        <v>0</v>
      </c>
      <c r="K30" s="173">
        <f t="shared" si="14"/>
        <v>0</v>
      </c>
    </row>
    <row r="31" spans="1:11" s="61" customFormat="1" ht="12.75" hidden="1" customHeight="1">
      <c r="A31" s="77"/>
      <c r="B31" s="60"/>
      <c r="C31" s="153"/>
      <c r="D31" s="173"/>
      <c r="E31" s="173"/>
      <c r="F31" s="173"/>
      <c r="G31" s="173"/>
      <c r="H31" s="173"/>
      <c r="I31" s="173"/>
      <c r="J31" s="173"/>
      <c r="K31" s="173"/>
    </row>
    <row r="32" spans="1:11" s="61" customFormat="1" ht="12.75" hidden="1" customHeight="1">
      <c r="A32" s="77" t="s">
        <v>108</v>
      </c>
      <c r="B32" s="60"/>
      <c r="C32" s="153"/>
      <c r="D32" s="173"/>
      <c r="E32" s="173"/>
      <c r="F32" s="173"/>
      <c r="G32" s="173"/>
      <c r="H32" s="173"/>
      <c r="I32" s="173"/>
      <c r="J32" s="173"/>
      <c r="K32" s="173"/>
    </row>
    <row r="33" spans="1:11" ht="12.75" hidden="1" customHeight="1">
      <c r="A33" s="71" t="s">
        <v>21</v>
      </c>
      <c r="B33" s="27"/>
      <c r="C33" s="153" t="s">
        <v>87</v>
      </c>
      <c r="D33" s="170"/>
      <c r="E33" s="170"/>
      <c r="F33" s="170"/>
      <c r="G33" s="170"/>
      <c r="H33" s="170"/>
      <c r="I33" s="170"/>
      <c r="J33" s="170">
        <f>D33-I33</f>
        <v>0</v>
      </c>
      <c r="K33" s="170">
        <f>E33-I33</f>
        <v>0</v>
      </c>
    </row>
    <row r="34" spans="1:11" ht="12.75" hidden="1" customHeight="1">
      <c r="A34" s="73" t="s">
        <v>101</v>
      </c>
      <c r="B34" s="27"/>
      <c r="C34" s="153" t="s">
        <v>88</v>
      </c>
      <c r="D34" s="170"/>
      <c r="E34" s="170"/>
      <c r="F34" s="170"/>
      <c r="G34" s="170"/>
      <c r="H34" s="170"/>
      <c r="I34" s="170"/>
      <c r="J34" s="170">
        <f>D34-I34</f>
        <v>0</v>
      </c>
      <c r="K34" s="170">
        <f>E34-I34</f>
        <v>0</v>
      </c>
    </row>
    <row r="35" spans="1:11" ht="14.25" hidden="1" customHeight="1">
      <c r="A35" s="78" t="s">
        <v>102</v>
      </c>
      <c r="B35" s="27"/>
      <c r="C35" s="153" t="s">
        <v>89</v>
      </c>
      <c r="D35" s="170"/>
      <c r="E35" s="170"/>
      <c r="F35" s="170"/>
      <c r="G35" s="170"/>
      <c r="H35" s="170"/>
      <c r="I35" s="170"/>
      <c r="J35" s="170">
        <f>D35-I35</f>
        <v>0</v>
      </c>
      <c r="K35" s="170">
        <f>E35-I35</f>
        <v>0</v>
      </c>
    </row>
    <row r="36" spans="1:11" s="75" customFormat="1" ht="13.5" hidden="1" customHeight="1">
      <c r="A36" s="76" t="s">
        <v>80</v>
      </c>
      <c r="B36" s="74"/>
      <c r="C36" s="156"/>
      <c r="D36" s="172">
        <f t="shared" ref="D36:K36" si="16">SUM(D34:D35)</f>
        <v>0</v>
      </c>
      <c r="E36" s="172">
        <f t="shared" si="16"/>
        <v>0</v>
      </c>
      <c r="F36" s="172">
        <f t="shared" ref="F36" si="17">SUM(F34:F35)</f>
        <v>0</v>
      </c>
      <c r="G36" s="172">
        <f t="shared" si="16"/>
        <v>0</v>
      </c>
      <c r="H36" s="172">
        <f t="shared" si="16"/>
        <v>0</v>
      </c>
      <c r="I36" s="172">
        <f t="shared" si="16"/>
        <v>0</v>
      </c>
      <c r="J36" s="172">
        <f t="shared" si="16"/>
        <v>0</v>
      </c>
      <c r="K36" s="172">
        <f t="shared" si="16"/>
        <v>0</v>
      </c>
    </row>
    <row r="37" spans="1:11" s="61" customFormat="1" ht="12.75" hidden="1" customHeight="1">
      <c r="A37" s="77" t="s">
        <v>94</v>
      </c>
      <c r="B37" s="60"/>
      <c r="C37" s="154"/>
      <c r="D37" s="173">
        <f t="shared" ref="D37:K37" si="18">D33+D36</f>
        <v>0</v>
      </c>
      <c r="E37" s="173">
        <f t="shared" si="18"/>
        <v>0</v>
      </c>
      <c r="F37" s="173">
        <f t="shared" ref="F37" si="19">F33+F36</f>
        <v>0</v>
      </c>
      <c r="G37" s="173">
        <f t="shared" si="18"/>
        <v>0</v>
      </c>
      <c r="H37" s="173">
        <f t="shared" si="18"/>
        <v>0</v>
      </c>
      <c r="I37" s="173">
        <f t="shared" si="18"/>
        <v>0</v>
      </c>
      <c r="J37" s="173">
        <f t="shared" si="18"/>
        <v>0</v>
      </c>
      <c r="K37" s="173">
        <f t="shared" si="18"/>
        <v>0</v>
      </c>
    </row>
    <row r="38" spans="1:11" s="61" customFormat="1" ht="12.75" hidden="1" customHeight="1">
      <c r="A38" s="77"/>
      <c r="B38" s="60"/>
      <c r="C38" s="154"/>
      <c r="D38" s="173"/>
      <c r="E38" s="173"/>
      <c r="F38" s="173"/>
      <c r="G38" s="173"/>
      <c r="H38" s="173"/>
      <c r="I38" s="173"/>
      <c r="J38" s="173"/>
      <c r="K38" s="173"/>
    </row>
    <row r="39" spans="1:11" s="61" customFormat="1" ht="12.75" hidden="1" customHeight="1">
      <c r="A39" s="79" t="s">
        <v>99</v>
      </c>
      <c r="B39" s="60"/>
      <c r="C39" s="154"/>
      <c r="D39" s="173"/>
      <c r="E39" s="173"/>
      <c r="F39" s="173"/>
      <c r="G39" s="173"/>
      <c r="H39" s="173"/>
      <c r="I39" s="173"/>
      <c r="J39" s="173"/>
      <c r="K39" s="173"/>
    </row>
    <row r="40" spans="1:11" ht="12.75" hidden="1" customHeight="1">
      <c r="A40" s="71" t="s">
        <v>21</v>
      </c>
      <c r="B40" s="27"/>
      <c r="C40" s="153" t="s">
        <v>90</v>
      </c>
      <c r="D40" s="170">
        <f t="shared" ref="D40:I40" si="20">D19+D26+D33</f>
        <v>664283.4</v>
      </c>
      <c r="E40" s="170">
        <f t="shared" si="20"/>
        <v>664283.4</v>
      </c>
      <c r="F40" s="170">
        <f t="shared" ref="F40" si="21">F19+F26+F33</f>
        <v>664283.4</v>
      </c>
      <c r="G40" s="170">
        <f t="shared" si="20"/>
        <v>0</v>
      </c>
      <c r="H40" s="170">
        <f t="shared" si="20"/>
        <v>0</v>
      </c>
      <c r="I40" s="170">
        <f t="shared" si="20"/>
        <v>664283.4</v>
      </c>
      <c r="J40" s="170">
        <f>D40-I40</f>
        <v>0</v>
      </c>
      <c r="K40" s="170">
        <f>E40-I40</f>
        <v>0</v>
      </c>
    </row>
    <row r="41" spans="1:11" ht="38.25" hidden="1" customHeight="1">
      <c r="A41" s="71" t="s">
        <v>23</v>
      </c>
      <c r="B41" s="27"/>
      <c r="C41" s="153" t="s">
        <v>91</v>
      </c>
      <c r="D41" s="170" t="e">
        <f>#REF!</f>
        <v>#REF!</v>
      </c>
      <c r="E41" s="170" t="e">
        <f>#REF!</f>
        <v>#REF!</v>
      </c>
      <c r="F41" s="170" t="e">
        <f>#REF!</f>
        <v>#REF!</v>
      </c>
      <c r="G41" s="170" t="e">
        <f>#REF!</f>
        <v>#REF!</v>
      </c>
      <c r="H41" s="170" t="e">
        <f>#REF!</f>
        <v>#REF!</v>
      </c>
      <c r="I41" s="170" t="e">
        <f>#REF!</f>
        <v>#REF!</v>
      </c>
      <c r="J41" s="170" t="e">
        <f>D41-I41</f>
        <v>#REF!</v>
      </c>
      <c r="K41" s="170" t="e">
        <f>E41-I41</f>
        <v>#REF!</v>
      </c>
    </row>
    <row r="42" spans="1:11" ht="12.75" hidden="1" customHeight="1">
      <c r="A42" s="73" t="s">
        <v>101</v>
      </c>
      <c r="B42" s="27"/>
      <c r="C42" s="153" t="s">
        <v>92</v>
      </c>
      <c r="D42" s="170">
        <f t="shared" ref="D42:I43" si="22">D20+D27+D34</f>
        <v>145642.03</v>
      </c>
      <c r="E42" s="170">
        <f t="shared" si="22"/>
        <v>145642.03</v>
      </c>
      <c r="F42" s="170">
        <f t="shared" ref="F42" si="23">F20+F27+F34</f>
        <v>145642.03</v>
      </c>
      <c r="G42" s="170">
        <f t="shared" si="22"/>
        <v>0</v>
      </c>
      <c r="H42" s="170">
        <f t="shared" si="22"/>
        <v>0</v>
      </c>
      <c r="I42" s="170">
        <f t="shared" si="22"/>
        <v>145642.03</v>
      </c>
      <c r="J42" s="170">
        <f>D42-I42</f>
        <v>0</v>
      </c>
      <c r="K42" s="170">
        <f>E42-I42</f>
        <v>0</v>
      </c>
    </row>
    <row r="43" spans="1:11" ht="14.25" hidden="1" customHeight="1">
      <c r="A43" s="73" t="s">
        <v>102</v>
      </c>
      <c r="B43" s="27"/>
      <c r="C43" s="153" t="s">
        <v>93</v>
      </c>
      <c r="D43" s="170">
        <f t="shared" si="22"/>
        <v>54075</v>
      </c>
      <c r="E43" s="170">
        <f t="shared" si="22"/>
        <v>54075</v>
      </c>
      <c r="F43" s="170">
        <f t="shared" ref="F43" si="24">F21+F28+F35</f>
        <v>54075</v>
      </c>
      <c r="G43" s="170">
        <f t="shared" si="22"/>
        <v>0</v>
      </c>
      <c r="H43" s="170">
        <f t="shared" si="22"/>
        <v>0</v>
      </c>
      <c r="I43" s="170">
        <f t="shared" si="22"/>
        <v>54075</v>
      </c>
      <c r="J43" s="170">
        <f>D43-I43</f>
        <v>0</v>
      </c>
      <c r="K43" s="170">
        <f>E43-I43</f>
        <v>0</v>
      </c>
    </row>
    <row r="44" spans="1:11" s="75" customFormat="1" ht="13.5" hidden="1" customHeight="1">
      <c r="A44" s="76" t="s">
        <v>80</v>
      </c>
      <c r="B44" s="74"/>
      <c r="C44" s="156"/>
      <c r="D44" s="172">
        <f>SUM(D42:D43)</f>
        <v>199717.03</v>
      </c>
      <c r="E44" s="172">
        <f t="shared" ref="E44:K44" si="25">SUM(E42:E43)</f>
        <v>199717.03</v>
      </c>
      <c r="F44" s="172">
        <f t="shared" ref="F44" si="26">SUM(F42:F43)</f>
        <v>199717.03</v>
      </c>
      <c r="G44" s="172">
        <f t="shared" si="25"/>
        <v>0</v>
      </c>
      <c r="H44" s="172">
        <f t="shared" si="25"/>
        <v>0</v>
      </c>
      <c r="I44" s="172">
        <f t="shared" si="25"/>
        <v>199717.03</v>
      </c>
      <c r="J44" s="172">
        <f t="shared" si="25"/>
        <v>0</v>
      </c>
      <c r="K44" s="172">
        <f t="shared" si="25"/>
        <v>0</v>
      </c>
    </row>
    <row r="45" spans="1:11" s="61" customFormat="1" ht="12.75" hidden="1" customHeight="1">
      <c r="A45" s="79" t="s">
        <v>98</v>
      </c>
      <c r="B45" s="60"/>
      <c r="C45" s="154"/>
      <c r="D45" s="173" t="e">
        <f>D40+D44+D41</f>
        <v>#REF!</v>
      </c>
      <c r="E45" s="173" t="e">
        <f t="shared" ref="E45:K45" si="27">E40+E44+E41</f>
        <v>#REF!</v>
      </c>
      <c r="F45" s="173" t="e">
        <f t="shared" ref="F45" si="28">F40+F44+F41</f>
        <v>#REF!</v>
      </c>
      <c r="G45" s="173" t="e">
        <f t="shared" si="27"/>
        <v>#REF!</v>
      </c>
      <c r="H45" s="173" t="e">
        <f t="shared" si="27"/>
        <v>#REF!</v>
      </c>
      <c r="I45" s="173" t="e">
        <f t="shared" si="27"/>
        <v>#REF!</v>
      </c>
      <c r="J45" s="173" t="e">
        <f t="shared" si="27"/>
        <v>#REF!</v>
      </c>
      <c r="K45" s="173" t="e">
        <f t="shared" si="27"/>
        <v>#REF!</v>
      </c>
    </row>
    <row r="46" spans="1:11" s="61" customFormat="1" ht="25.5">
      <c r="A46" s="51" t="s">
        <v>144</v>
      </c>
      <c r="B46" s="60"/>
      <c r="C46" s="164" t="s">
        <v>505</v>
      </c>
      <c r="D46" s="173">
        <f>D49+D53+D56</f>
        <v>2467000.63</v>
      </c>
      <c r="E46" s="173">
        <f t="shared" ref="E46:K46" si="29">E49+E53+E56</f>
        <v>2467000.63</v>
      </c>
      <c r="F46" s="173">
        <f t="shared" ref="F46" si="30">F49+F53+F56</f>
        <v>2465410.6</v>
      </c>
      <c r="G46" s="173">
        <f t="shared" si="29"/>
        <v>0</v>
      </c>
      <c r="H46" s="173">
        <f t="shared" si="29"/>
        <v>0</v>
      </c>
      <c r="I46" s="173">
        <f t="shared" si="29"/>
        <v>2465410.6</v>
      </c>
      <c r="J46" s="173">
        <f t="shared" si="29"/>
        <v>1590.0300000000279</v>
      </c>
      <c r="K46" s="173">
        <f t="shared" si="29"/>
        <v>1590.0300000000279</v>
      </c>
    </row>
    <row r="47" spans="1:11">
      <c r="A47" s="71" t="s">
        <v>11</v>
      </c>
      <c r="B47" s="27"/>
      <c r="C47" s="153" t="s">
        <v>177</v>
      </c>
      <c r="D47" s="170">
        <f>760435+53489.93+13200+4920.16+51000+5000+500+10000+360000-8126.77</f>
        <v>1250418.32</v>
      </c>
      <c r="E47" s="170">
        <f>760435+53489.93+13200+4920.16+51000+5000+500+10000+360000-8126.77</f>
        <v>1250418.32</v>
      </c>
      <c r="F47" s="170">
        <f>1164536.32+85882</f>
        <v>1250418.32</v>
      </c>
      <c r="G47" s="170">
        <v>0</v>
      </c>
      <c r="H47" s="170">
        <v>0</v>
      </c>
      <c r="I47" s="170">
        <f>1164536.32+85882</f>
        <v>1250418.32</v>
      </c>
      <c r="J47" s="170">
        <f>D47-I47</f>
        <v>0</v>
      </c>
      <c r="K47" s="170">
        <f>E47-I47</f>
        <v>0</v>
      </c>
    </row>
    <row r="48" spans="1:11">
      <c r="A48" s="71" t="s">
        <v>22</v>
      </c>
      <c r="B48" s="27"/>
      <c r="C48" s="153" t="s">
        <v>178</v>
      </c>
      <c r="D48" s="170">
        <f>810531-101591-22510.67-66228.64+15213.93-8066.73</f>
        <v>627347.89</v>
      </c>
      <c r="E48" s="170">
        <f>810531-101591-22510.67-66228.64+15213.93-8066.73</f>
        <v>627347.89</v>
      </c>
      <c r="F48" s="170">
        <f>581662.17+19552+26133.72</f>
        <v>627347.89</v>
      </c>
      <c r="G48" s="170">
        <v>0</v>
      </c>
      <c r="H48" s="170">
        <v>0</v>
      </c>
      <c r="I48" s="170">
        <f>581662.17+19552+26133.72</f>
        <v>627347.89</v>
      </c>
      <c r="J48" s="170">
        <f>D48-I48</f>
        <v>0</v>
      </c>
      <c r="K48" s="170">
        <f>E48-I48</f>
        <v>0</v>
      </c>
    </row>
    <row r="49" spans="1:11" s="75" customFormat="1" ht="13.5">
      <c r="A49" s="76" t="s">
        <v>81</v>
      </c>
      <c r="B49" s="74"/>
      <c r="C49" s="156"/>
      <c r="D49" s="172">
        <f t="shared" ref="D49:K49" si="31">SUM(D47:D48)</f>
        <v>1877766.21</v>
      </c>
      <c r="E49" s="172">
        <f t="shared" si="31"/>
        <v>1877766.21</v>
      </c>
      <c r="F49" s="172">
        <f t="shared" ref="F49" si="32">SUM(F47:F48)</f>
        <v>1877766.21</v>
      </c>
      <c r="G49" s="172">
        <f t="shared" si="31"/>
        <v>0</v>
      </c>
      <c r="H49" s="172">
        <f t="shared" si="31"/>
        <v>0</v>
      </c>
      <c r="I49" s="172">
        <f t="shared" si="31"/>
        <v>1877766.21</v>
      </c>
      <c r="J49" s="172">
        <f t="shared" si="31"/>
        <v>0</v>
      </c>
      <c r="K49" s="172">
        <f t="shared" si="31"/>
        <v>0</v>
      </c>
    </row>
    <row r="50" spans="1:11" ht="46.5" customHeight="1">
      <c r="A50" s="71" t="s">
        <v>23</v>
      </c>
      <c r="B50" s="27"/>
      <c r="C50" s="153" t="s">
        <v>179</v>
      </c>
      <c r="D50" s="170">
        <f>43166-5402-10000-3306.7</f>
        <v>24457.3</v>
      </c>
      <c r="E50" s="170">
        <f>43166-5402-10000-3306.7</f>
        <v>24457.3</v>
      </c>
      <c r="F50" s="170">
        <v>24457.3</v>
      </c>
      <c r="G50" s="170">
        <v>0</v>
      </c>
      <c r="H50" s="170">
        <v>0</v>
      </c>
      <c r="I50" s="170">
        <v>24457.3</v>
      </c>
      <c r="J50" s="170">
        <f>D50-I50</f>
        <v>0</v>
      </c>
      <c r="K50" s="170">
        <f>E50-I50</f>
        <v>0</v>
      </c>
    </row>
    <row r="51" spans="1:11" ht="31.5" customHeight="1">
      <c r="A51" s="71" t="s">
        <v>24</v>
      </c>
      <c r="B51" s="27"/>
      <c r="C51" s="153" t="s">
        <v>180</v>
      </c>
      <c r="D51" s="170">
        <f>18750-11750</f>
        <v>7000</v>
      </c>
      <c r="E51" s="170">
        <f>18750-11750</f>
        <v>7000</v>
      </c>
      <c r="F51" s="170">
        <f>4500+1000</f>
        <v>5500</v>
      </c>
      <c r="G51" s="170">
        <v>0</v>
      </c>
      <c r="H51" s="170">
        <v>0</v>
      </c>
      <c r="I51" s="170">
        <f>4500+1000</f>
        <v>5500</v>
      </c>
      <c r="J51" s="170">
        <f>D51-I51</f>
        <v>1500</v>
      </c>
      <c r="K51" s="170">
        <f>E51-I51</f>
        <v>1500</v>
      </c>
    </row>
    <row r="52" spans="1:11" ht="31.5" customHeight="1">
      <c r="A52" s="71" t="s">
        <v>24</v>
      </c>
      <c r="B52" s="27"/>
      <c r="C52" s="153" t="s">
        <v>434</v>
      </c>
      <c r="D52" s="170">
        <v>3095</v>
      </c>
      <c r="E52" s="170">
        <v>3095</v>
      </c>
      <c r="F52" s="170">
        <v>3095</v>
      </c>
      <c r="G52" s="170">
        <v>0</v>
      </c>
      <c r="H52" s="170">
        <v>0</v>
      </c>
      <c r="I52" s="170">
        <v>3095</v>
      </c>
      <c r="J52" s="170">
        <f>D52-I52</f>
        <v>0</v>
      </c>
      <c r="K52" s="170">
        <f>E52-I52</f>
        <v>0</v>
      </c>
    </row>
    <row r="53" spans="1:11" s="75" customFormat="1" ht="13.5">
      <c r="A53" s="76" t="s">
        <v>146</v>
      </c>
      <c r="B53" s="74"/>
      <c r="C53" s="156"/>
      <c r="D53" s="172">
        <f t="shared" ref="D53:K53" si="33">SUM(D50:D52)</f>
        <v>34552.300000000003</v>
      </c>
      <c r="E53" s="172">
        <f t="shared" si="33"/>
        <v>34552.300000000003</v>
      </c>
      <c r="F53" s="172">
        <f t="shared" ref="F53" si="34">SUM(F50:F52)</f>
        <v>33052.300000000003</v>
      </c>
      <c r="G53" s="172">
        <f t="shared" si="33"/>
        <v>0</v>
      </c>
      <c r="H53" s="172">
        <f t="shared" si="33"/>
        <v>0</v>
      </c>
      <c r="I53" s="172">
        <f t="shared" si="33"/>
        <v>33052.300000000003</v>
      </c>
      <c r="J53" s="172">
        <f t="shared" si="33"/>
        <v>1500</v>
      </c>
      <c r="K53" s="172">
        <f t="shared" si="33"/>
        <v>1500</v>
      </c>
    </row>
    <row r="54" spans="1:11" ht="25.5">
      <c r="A54" s="80" t="s">
        <v>101</v>
      </c>
      <c r="B54" s="27"/>
      <c r="C54" s="153" t="s">
        <v>181</v>
      </c>
      <c r="D54" s="170">
        <f>345612-22350-17798.85-15026.76+110000+12405</f>
        <v>412841.39</v>
      </c>
      <c r="E54" s="170">
        <f>345612-22350-17798.85-15026.76+110000+12405</f>
        <v>412841.39</v>
      </c>
      <c r="F54" s="170">
        <f>290436.36+110000+12405</f>
        <v>412841.36</v>
      </c>
      <c r="G54" s="170">
        <v>0</v>
      </c>
      <c r="H54" s="170">
        <v>0</v>
      </c>
      <c r="I54" s="170">
        <f>290436.36+110000+12405</f>
        <v>412841.36</v>
      </c>
      <c r="J54" s="170">
        <f>D54-I54</f>
        <v>3.0000000027939677E-2</v>
      </c>
      <c r="K54" s="170">
        <f>E54-I54</f>
        <v>3.0000000027939677E-2</v>
      </c>
    </row>
    <row r="55" spans="1:11">
      <c r="A55" s="80" t="s">
        <v>102</v>
      </c>
      <c r="B55" s="27"/>
      <c r="C55" s="153" t="s">
        <v>182</v>
      </c>
      <c r="D55" s="170">
        <f>128820-8330-9191.14+42000-11458.13</f>
        <v>141840.72999999998</v>
      </c>
      <c r="E55" s="170">
        <f>128820-8330-9191.14+42000-11458.13</f>
        <v>141840.72999999998</v>
      </c>
      <c r="F55" s="170">
        <f>108492.73+33258</f>
        <v>141750.72999999998</v>
      </c>
      <c r="G55" s="170">
        <v>0</v>
      </c>
      <c r="H55" s="170">
        <v>0</v>
      </c>
      <c r="I55" s="170">
        <f>108492.73+33258</f>
        <v>141750.72999999998</v>
      </c>
      <c r="J55" s="170">
        <f>D55-I55</f>
        <v>90</v>
      </c>
      <c r="K55" s="170">
        <f>E55-I55</f>
        <v>90</v>
      </c>
    </row>
    <row r="56" spans="1:11" s="75" customFormat="1" ht="13.5">
      <c r="A56" s="51" t="s">
        <v>145</v>
      </c>
      <c r="B56" s="74"/>
      <c r="C56" s="156"/>
      <c r="D56" s="172">
        <f t="shared" ref="D56:K56" si="35">SUM(D54:D55)</f>
        <v>554682.12</v>
      </c>
      <c r="E56" s="172">
        <f t="shared" si="35"/>
        <v>554682.12</v>
      </c>
      <c r="F56" s="172">
        <f t="shared" ref="F56" si="36">SUM(F54:F55)</f>
        <v>554592.09</v>
      </c>
      <c r="G56" s="172">
        <f t="shared" si="35"/>
        <v>0</v>
      </c>
      <c r="H56" s="172">
        <f t="shared" si="35"/>
        <v>0</v>
      </c>
      <c r="I56" s="172">
        <f t="shared" si="35"/>
        <v>554592.09</v>
      </c>
      <c r="J56" s="172">
        <f t="shared" si="35"/>
        <v>90.03000000002794</v>
      </c>
      <c r="K56" s="172">
        <f t="shared" si="35"/>
        <v>90.03000000002794</v>
      </c>
    </row>
    <row r="57" spans="1:11" s="75" customFormat="1" ht="13.5">
      <c r="A57" s="51"/>
      <c r="B57" s="74"/>
      <c r="C57" s="156"/>
      <c r="D57" s="172"/>
      <c r="E57" s="172"/>
      <c r="F57" s="172"/>
      <c r="G57" s="172"/>
      <c r="H57" s="172"/>
      <c r="I57" s="172"/>
      <c r="J57" s="172"/>
      <c r="K57" s="172"/>
    </row>
    <row r="58" spans="1:11">
      <c r="A58" s="71" t="s">
        <v>13</v>
      </c>
      <c r="B58" s="27"/>
      <c r="C58" s="153" t="s">
        <v>183</v>
      </c>
      <c r="D58" s="170">
        <v>14388</v>
      </c>
      <c r="E58" s="170">
        <v>14388</v>
      </c>
      <c r="F58" s="170">
        <v>9850</v>
      </c>
      <c r="G58" s="170">
        <v>0</v>
      </c>
      <c r="H58" s="170">
        <v>0</v>
      </c>
      <c r="I58" s="170">
        <v>9850</v>
      </c>
      <c r="J58" s="170">
        <f>D58-I58</f>
        <v>4538</v>
      </c>
      <c r="K58" s="170">
        <f>E58-I58</f>
        <v>4538</v>
      </c>
    </row>
    <row r="59" spans="1:11">
      <c r="A59" s="71" t="s">
        <v>16</v>
      </c>
      <c r="B59" s="27"/>
      <c r="C59" s="153" t="s">
        <v>241</v>
      </c>
      <c r="D59" s="170">
        <f>15650-5958.33-8491.67</f>
        <v>1200</v>
      </c>
      <c r="E59" s="170">
        <f>15650-5958.33-8491.67</f>
        <v>1200</v>
      </c>
      <c r="F59" s="170">
        <v>1200</v>
      </c>
      <c r="G59" s="170">
        <v>0</v>
      </c>
      <c r="H59" s="170">
        <v>0</v>
      </c>
      <c r="I59" s="170">
        <v>1200</v>
      </c>
      <c r="J59" s="170">
        <f>D59-I59</f>
        <v>0</v>
      </c>
      <c r="K59" s="170">
        <f>E59-I59</f>
        <v>0</v>
      </c>
    </row>
    <row r="60" spans="1:11">
      <c r="A60" s="71"/>
      <c r="B60" s="27"/>
      <c r="C60" s="155"/>
      <c r="D60" s="170"/>
      <c r="E60" s="170"/>
      <c r="F60" s="170"/>
      <c r="G60" s="170"/>
      <c r="H60" s="170"/>
      <c r="I60" s="170"/>
      <c r="J60" s="170"/>
      <c r="K60" s="170"/>
    </row>
    <row r="61" spans="1:11">
      <c r="A61" s="51" t="s">
        <v>136</v>
      </c>
      <c r="B61" s="27"/>
      <c r="C61" s="165" t="s">
        <v>153</v>
      </c>
      <c r="D61" s="170">
        <f>D62+D63+D67+D68+D69</f>
        <v>1537754.5</v>
      </c>
      <c r="E61" s="170">
        <f>E62+E63+E67+E68+E69</f>
        <v>1537754.5</v>
      </c>
      <c r="F61" s="170">
        <f t="shared" ref="F61" si="37">F62+F63+F67+F68+F69</f>
        <v>1236543.58</v>
      </c>
      <c r="G61" s="170">
        <f t="shared" ref="G61:K61" si="38">G62+G63+G67+G68+G69</f>
        <v>0</v>
      </c>
      <c r="H61" s="170">
        <f t="shared" si="38"/>
        <v>0</v>
      </c>
      <c r="I61" s="170">
        <f t="shared" si="38"/>
        <v>1236543.58</v>
      </c>
      <c r="J61" s="170">
        <f t="shared" si="38"/>
        <v>301210.92000000004</v>
      </c>
      <c r="K61" s="170">
        <f t="shared" si="38"/>
        <v>301210.92000000004</v>
      </c>
    </row>
    <row r="62" spans="1:11">
      <c r="A62" s="71" t="s">
        <v>12</v>
      </c>
      <c r="B62" s="27"/>
      <c r="C62" s="153" t="s">
        <v>242</v>
      </c>
      <c r="D62" s="170">
        <v>31908</v>
      </c>
      <c r="E62" s="170">
        <v>31908</v>
      </c>
      <c r="F62" s="170">
        <f>25037.88+132.16+220.11</f>
        <v>25390.15</v>
      </c>
      <c r="G62" s="170">
        <v>0</v>
      </c>
      <c r="H62" s="170">
        <v>0</v>
      </c>
      <c r="I62" s="170">
        <f>25037.88+132.16+220.11</f>
        <v>25390.15</v>
      </c>
      <c r="J62" s="170">
        <f>D62-I62</f>
        <v>6517.8499999999985</v>
      </c>
      <c r="K62" s="170">
        <f>E62-I62</f>
        <v>6517.8499999999985</v>
      </c>
    </row>
    <row r="63" spans="1:11">
      <c r="A63" s="71" t="s">
        <v>13</v>
      </c>
      <c r="B63" s="27"/>
      <c r="C63" s="153" t="s">
        <v>184</v>
      </c>
      <c r="D63" s="170">
        <f>23378+5708.84+569.4</f>
        <v>29656.240000000002</v>
      </c>
      <c r="E63" s="170">
        <f>23378+5708.84+569.4</f>
        <v>29656.240000000002</v>
      </c>
      <c r="F63" s="170">
        <v>23378</v>
      </c>
      <c r="G63" s="170">
        <v>0</v>
      </c>
      <c r="H63" s="170">
        <v>0</v>
      </c>
      <c r="I63" s="170">
        <v>23378</v>
      </c>
      <c r="J63" s="170">
        <f>D63-I63</f>
        <v>6278.2400000000016</v>
      </c>
      <c r="K63" s="170">
        <f>E63-I63</f>
        <v>6278.2400000000016</v>
      </c>
    </row>
    <row r="64" spans="1:11" ht="25.5">
      <c r="A64" s="71" t="s">
        <v>29</v>
      </c>
      <c r="B64" s="27"/>
      <c r="C64" s="153" t="s">
        <v>185</v>
      </c>
      <c r="D64" s="170">
        <f>1173868-88967+61458.43</f>
        <v>1146359.43</v>
      </c>
      <c r="E64" s="170">
        <f>1173868-88967+61458.43</f>
        <v>1146359.43</v>
      </c>
      <c r="F64" s="170">
        <f>727206.58+78343.44+84401.46</f>
        <v>889951.48</v>
      </c>
      <c r="G64" s="170">
        <v>0</v>
      </c>
      <c r="H64" s="170">
        <v>0</v>
      </c>
      <c r="I64" s="170">
        <f>727206.58+78343.44+84401.46</f>
        <v>889951.48</v>
      </c>
      <c r="J64" s="170">
        <f>D64-I64</f>
        <v>256407.94999999995</v>
      </c>
      <c r="K64" s="170">
        <f>E64-I64</f>
        <v>256407.94999999995</v>
      </c>
    </row>
    <row r="65" spans="1:11">
      <c r="A65" s="71" t="s">
        <v>25</v>
      </c>
      <c r="B65" s="27"/>
      <c r="C65" s="153" t="s">
        <v>186</v>
      </c>
      <c r="D65" s="170">
        <f>126420-50000</f>
        <v>76420</v>
      </c>
      <c r="E65" s="170">
        <f>126420-50000</f>
        <v>76420</v>
      </c>
      <c r="F65" s="170">
        <v>65733.34</v>
      </c>
      <c r="G65" s="170">
        <v>0</v>
      </c>
      <c r="H65" s="170">
        <v>0</v>
      </c>
      <c r="I65" s="170">
        <v>65733.34</v>
      </c>
      <c r="J65" s="170">
        <f>D65-I65</f>
        <v>10686.660000000003</v>
      </c>
      <c r="K65" s="170">
        <f>E65-I65</f>
        <v>10686.660000000003</v>
      </c>
    </row>
    <row r="66" spans="1:11" ht="12.75" customHeight="1">
      <c r="A66" s="71" t="s">
        <v>26</v>
      </c>
      <c r="B66" s="27"/>
      <c r="C66" s="153" t="s">
        <v>187</v>
      </c>
      <c r="D66" s="170">
        <f>10978+3000</f>
        <v>13978</v>
      </c>
      <c r="E66" s="170">
        <f>10978+3000</f>
        <v>13978</v>
      </c>
      <c r="F66" s="170">
        <f>10978+952.2+899.49+71.68</f>
        <v>12901.37</v>
      </c>
      <c r="G66" s="170">
        <v>0</v>
      </c>
      <c r="H66" s="170">
        <v>0</v>
      </c>
      <c r="I66" s="170">
        <f>10978+952.2+899.49+71.68</f>
        <v>12901.37</v>
      </c>
      <c r="J66" s="170">
        <f>D66-I66</f>
        <v>1076.6299999999992</v>
      </c>
      <c r="K66" s="170">
        <f>E66-I66</f>
        <v>1076.6299999999992</v>
      </c>
    </row>
    <row r="67" spans="1:11" s="75" customFormat="1" ht="17.25" customHeight="1">
      <c r="A67" s="90" t="s">
        <v>14</v>
      </c>
      <c r="B67" s="74"/>
      <c r="C67" s="156"/>
      <c r="D67" s="172">
        <f>SUM(D64:D66)</f>
        <v>1236757.43</v>
      </c>
      <c r="E67" s="172">
        <f t="shared" ref="E67:K67" si="39">SUM(E64:E66)</f>
        <v>1236757.43</v>
      </c>
      <c r="F67" s="172">
        <f t="shared" ref="F67" si="40">SUM(F64:F66)</f>
        <v>968586.19</v>
      </c>
      <c r="G67" s="172">
        <f t="shared" si="39"/>
        <v>0</v>
      </c>
      <c r="H67" s="172">
        <f t="shared" si="39"/>
        <v>0</v>
      </c>
      <c r="I67" s="172">
        <f t="shared" si="39"/>
        <v>968586.19</v>
      </c>
      <c r="J67" s="172">
        <f t="shared" si="39"/>
        <v>268171.24</v>
      </c>
      <c r="K67" s="172">
        <f t="shared" si="39"/>
        <v>268171.24</v>
      </c>
    </row>
    <row r="68" spans="1:11">
      <c r="A68" s="71" t="s">
        <v>15</v>
      </c>
      <c r="B68" s="27"/>
      <c r="C68" s="153" t="s">
        <v>188</v>
      </c>
      <c r="D68" s="170">
        <f>53353+15096.94+10000+14150</f>
        <v>92599.94</v>
      </c>
      <c r="E68" s="170">
        <f>53353+15096.94+10000+14150</f>
        <v>92599.94</v>
      </c>
      <c r="F68" s="170">
        <f>69638.97+6000+820</f>
        <v>76458.97</v>
      </c>
      <c r="G68" s="170">
        <v>0</v>
      </c>
      <c r="H68" s="170">
        <v>0</v>
      </c>
      <c r="I68" s="170">
        <f>69638.97+6000+820</f>
        <v>76458.97</v>
      </c>
      <c r="J68" s="170">
        <f t="shared" ref="J68:J74" si="41">D68-I68</f>
        <v>16140.970000000001</v>
      </c>
      <c r="K68" s="170">
        <f t="shared" ref="K68:K74" si="42">E68-I68</f>
        <v>16140.970000000001</v>
      </c>
    </row>
    <row r="69" spans="1:11">
      <c r="A69" s="71" t="s">
        <v>16</v>
      </c>
      <c r="B69" s="27"/>
      <c r="C69" s="153" t="s">
        <v>243</v>
      </c>
      <c r="D69" s="170">
        <f>35378+13943.13+15026.76+15096.94+72800-15096.94+44800-35115</f>
        <v>146832.89000000001</v>
      </c>
      <c r="E69" s="170">
        <f>35378+13943.13+15026.76+15096.94+72800-15096.94+44800-35115</f>
        <v>146832.89000000001</v>
      </c>
      <c r="F69" s="170">
        <v>142730.26999999999</v>
      </c>
      <c r="G69" s="170">
        <v>0</v>
      </c>
      <c r="H69" s="170">
        <v>0</v>
      </c>
      <c r="I69" s="170">
        <v>142730.26999999999</v>
      </c>
      <c r="J69" s="170">
        <f t="shared" si="41"/>
        <v>4102.6200000000244</v>
      </c>
      <c r="K69" s="170">
        <f t="shared" si="42"/>
        <v>4102.6200000000244</v>
      </c>
    </row>
    <row r="70" spans="1:11">
      <c r="A70" s="71" t="s">
        <v>17</v>
      </c>
      <c r="B70" s="27"/>
      <c r="C70" s="153" t="s">
        <v>189</v>
      </c>
      <c r="D70" s="170">
        <f>11122+594.5-3095-3454.26</f>
        <v>5167.24</v>
      </c>
      <c r="E70" s="170">
        <f>11122+594.5-3095-3454.26</f>
        <v>5167.24</v>
      </c>
      <c r="F70" s="170">
        <v>837.5</v>
      </c>
      <c r="G70" s="170">
        <v>0</v>
      </c>
      <c r="H70" s="170">
        <v>0</v>
      </c>
      <c r="I70" s="170">
        <v>837.5</v>
      </c>
      <c r="J70" s="170">
        <f t="shared" si="41"/>
        <v>4329.74</v>
      </c>
      <c r="K70" s="170">
        <f t="shared" si="42"/>
        <v>4329.74</v>
      </c>
    </row>
    <row r="71" spans="1:11" ht="12.75" hidden="1" customHeight="1">
      <c r="A71" s="71"/>
      <c r="B71" s="27"/>
      <c r="C71" s="153"/>
      <c r="D71" s="170"/>
      <c r="E71" s="170"/>
      <c r="F71" s="170"/>
      <c r="G71" s="170">
        <v>0</v>
      </c>
      <c r="H71" s="170">
        <v>0</v>
      </c>
      <c r="I71" s="170"/>
      <c r="J71" s="170"/>
      <c r="K71" s="170"/>
    </row>
    <row r="72" spans="1:11">
      <c r="A72" s="71" t="s">
        <v>18</v>
      </c>
      <c r="B72" s="27"/>
      <c r="C72" s="153" t="s">
        <v>278</v>
      </c>
      <c r="D72" s="170">
        <f>38713.36+194064-10000</f>
        <v>222777.36</v>
      </c>
      <c r="E72" s="170">
        <f>38713.36+194064-10000</f>
        <v>222777.36</v>
      </c>
      <c r="F72" s="170">
        <v>220991</v>
      </c>
      <c r="G72" s="170">
        <v>0</v>
      </c>
      <c r="H72" s="170">
        <v>0</v>
      </c>
      <c r="I72" s="170">
        <v>220991</v>
      </c>
      <c r="J72" s="170">
        <f>D72-I72</f>
        <v>1786.359999999986</v>
      </c>
      <c r="K72" s="170">
        <f>E72-I72</f>
        <v>1786.359999999986</v>
      </c>
    </row>
    <row r="73" spans="1:11" ht="25.5">
      <c r="A73" s="71" t="s">
        <v>28</v>
      </c>
      <c r="B73" s="27"/>
      <c r="C73" s="153" t="s">
        <v>190</v>
      </c>
      <c r="D73" s="170">
        <f>140046-2537</f>
        <v>137509</v>
      </c>
      <c r="E73" s="170">
        <f>140046-2537</f>
        <v>137509</v>
      </c>
      <c r="F73" s="170">
        <f>4522.59+126082</f>
        <v>130604.59</v>
      </c>
      <c r="G73" s="170">
        <v>0</v>
      </c>
      <c r="H73" s="170">
        <v>0</v>
      </c>
      <c r="I73" s="170">
        <f>4522.59+126082</f>
        <v>130604.59</v>
      </c>
      <c r="J73" s="170">
        <f t="shared" si="41"/>
        <v>6904.4100000000035</v>
      </c>
      <c r="K73" s="170">
        <f t="shared" si="42"/>
        <v>6904.4100000000035</v>
      </c>
    </row>
    <row r="74" spans="1:11" ht="25.5" customHeight="1">
      <c r="A74" s="73" t="s">
        <v>173</v>
      </c>
      <c r="B74" s="27"/>
      <c r="C74" s="153" t="s">
        <v>191</v>
      </c>
      <c r="D74" s="170">
        <f>59756+7063+4087.01</f>
        <v>70906.009999999995</v>
      </c>
      <c r="E74" s="170">
        <f>59756+7063+4087.01</f>
        <v>70906.009999999995</v>
      </c>
      <c r="F74" s="170">
        <f>40618.5+430+4100+8609.51+3346</f>
        <v>57104.01</v>
      </c>
      <c r="G74" s="170">
        <v>0</v>
      </c>
      <c r="H74" s="170">
        <v>0</v>
      </c>
      <c r="I74" s="170">
        <f>40618.5+430+4100+8609.51+3346</f>
        <v>57104.01</v>
      </c>
      <c r="J74" s="170">
        <f t="shared" si="41"/>
        <v>13801.999999999993</v>
      </c>
      <c r="K74" s="170">
        <f t="shared" si="42"/>
        <v>13801.999999999993</v>
      </c>
    </row>
    <row r="75" spans="1:11" s="75" customFormat="1" ht="12.75" customHeight="1">
      <c r="A75" s="51" t="s">
        <v>143</v>
      </c>
      <c r="B75" s="74"/>
      <c r="C75" s="156"/>
      <c r="D75" s="172">
        <f>SUM(D73:D74)</f>
        <v>208415.01</v>
      </c>
      <c r="E75" s="172">
        <f t="shared" ref="E75:K75" si="43">SUM(E73:E74)</f>
        <v>208415.01</v>
      </c>
      <c r="F75" s="172">
        <f t="shared" ref="F75" si="44">SUM(F73:F74)</f>
        <v>187708.6</v>
      </c>
      <c r="G75" s="172">
        <f t="shared" si="43"/>
        <v>0</v>
      </c>
      <c r="H75" s="172">
        <f t="shared" si="43"/>
        <v>0</v>
      </c>
      <c r="I75" s="172">
        <f t="shared" si="43"/>
        <v>187708.6</v>
      </c>
      <c r="J75" s="172">
        <f t="shared" si="43"/>
        <v>20706.409999999996</v>
      </c>
      <c r="K75" s="172">
        <f t="shared" si="43"/>
        <v>20706.409999999996</v>
      </c>
    </row>
    <row r="76" spans="1:11">
      <c r="A76" s="71" t="s">
        <v>17</v>
      </c>
      <c r="B76" s="27"/>
      <c r="C76" s="153" t="s">
        <v>422</v>
      </c>
      <c r="D76" s="170">
        <v>19589.400000000001</v>
      </c>
      <c r="E76" s="170">
        <v>19589.400000000001</v>
      </c>
      <c r="F76" s="170">
        <v>19589.400000000001</v>
      </c>
      <c r="G76" s="170">
        <v>0</v>
      </c>
      <c r="H76" s="170">
        <v>0</v>
      </c>
      <c r="I76" s="170">
        <v>19589.400000000001</v>
      </c>
      <c r="J76" s="170">
        <f>D76-I76</f>
        <v>0</v>
      </c>
      <c r="K76" s="170">
        <f>E76-I76</f>
        <v>0</v>
      </c>
    </row>
    <row r="77" spans="1:11">
      <c r="A77" s="71" t="s">
        <v>17</v>
      </c>
      <c r="B77" s="27"/>
      <c r="C77" s="153" t="s">
        <v>192</v>
      </c>
      <c r="D77" s="170">
        <v>4394</v>
      </c>
      <c r="E77" s="170">
        <v>4394</v>
      </c>
      <c r="F77" s="170">
        <v>1694.84</v>
      </c>
      <c r="G77" s="170">
        <v>0</v>
      </c>
      <c r="H77" s="170">
        <v>0</v>
      </c>
      <c r="I77" s="170">
        <v>1694.84</v>
      </c>
      <c r="J77" s="170">
        <f>D77-I77</f>
        <v>2699.16</v>
      </c>
      <c r="K77" s="170">
        <f>E77-I77</f>
        <v>2699.16</v>
      </c>
    </row>
    <row r="78" spans="1:11">
      <c r="A78" s="71"/>
      <c r="B78" s="27"/>
      <c r="C78" s="153"/>
      <c r="D78" s="170"/>
      <c r="E78" s="170"/>
      <c r="F78" s="170"/>
      <c r="G78" s="170"/>
      <c r="H78" s="170"/>
      <c r="I78" s="170"/>
      <c r="J78" s="170"/>
      <c r="K78" s="170"/>
    </row>
    <row r="79" spans="1:11" s="26" customFormat="1" ht="13.5">
      <c r="A79" s="115"/>
      <c r="B79" s="25"/>
      <c r="C79" s="156" t="s">
        <v>462</v>
      </c>
      <c r="D79" s="172">
        <f>D80+D83</f>
        <v>112075.7</v>
      </c>
      <c r="E79" s="172">
        <f t="shared" ref="E79:K79" si="45">E80+E83</f>
        <v>112075.7</v>
      </c>
      <c r="F79" s="172">
        <f t="shared" ref="F79" si="46">F80+F83</f>
        <v>112075.59999999999</v>
      </c>
      <c r="G79" s="172">
        <f t="shared" si="45"/>
        <v>0</v>
      </c>
      <c r="H79" s="172">
        <f t="shared" si="45"/>
        <v>0</v>
      </c>
      <c r="I79" s="172">
        <f t="shared" si="45"/>
        <v>112075.59999999999</v>
      </c>
      <c r="J79" s="172">
        <f t="shared" si="45"/>
        <v>0.10000000000218279</v>
      </c>
      <c r="K79" s="172">
        <f t="shared" si="45"/>
        <v>0.10000000000218279</v>
      </c>
    </row>
    <row r="80" spans="1:11">
      <c r="A80" s="71" t="s">
        <v>22</v>
      </c>
      <c r="B80" s="27"/>
      <c r="C80" s="153" t="s">
        <v>433</v>
      </c>
      <c r="D80" s="170">
        <f>58136+27943.65</f>
        <v>86079.65</v>
      </c>
      <c r="E80" s="170">
        <f>58136+27943.65</f>
        <v>86079.65</v>
      </c>
      <c r="F80" s="170">
        <v>86079.65</v>
      </c>
      <c r="G80" s="170">
        <v>0</v>
      </c>
      <c r="H80" s="170">
        <v>0</v>
      </c>
      <c r="I80" s="170">
        <v>86079.65</v>
      </c>
      <c r="J80" s="170">
        <f>D80-I80</f>
        <v>0</v>
      </c>
      <c r="K80" s="170">
        <f>E80-I80</f>
        <v>0</v>
      </c>
    </row>
    <row r="81" spans="1:11" ht="25.5">
      <c r="A81" s="80" t="s">
        <v>101</v>
      </c>
      <c r="B81" s="27"/>
      <c r="C81" s="153" t="s">
        <v>431</v>
      </c>
      <c r="D81" s="170">
        <f>12789.92+6147.6</f>
        <v>18937.52</v>
      </c>
      <c r="E81" s="170">
        <f>12789.92+6147.6</f>
        <v>18937.52</v>
      </c>
      <c r="F81" s="170">
        <v>18937.419999999998</v>
      </c>
      <c r="G81" s="170">
        <v>0</v>
      </c>
      <c r="H81" s="170">
        <v>0</v>
      </c>
      <c r="I81" s="170">
        <v>18937.419999999998</v>
      </c>
      <c r="J81" s="170">
        <f>D81-I81</f>
        <v>0.10000000000218279</v>
      </c>
      <c r="K81" s="170">
        <f>E81-I81</f>
        <v>0.10000000000218279</v>
      </c>
    </row>
    <row r="82" spans="1:11">
      <c r="A82" s="80" t="s">
        <v>102</v>
      </c>
      <c r="B82" s="27"/>
      <c r="C82" s="153" t="s">
        <v>432</v>
      </c>
      <c r="D82" s="170">
        <f>4767.15+2291.38</f>
        <v>7058.53</v>
      </c>
      <c r="E82" s="170">
        <f>4767.15+2291.38</f>
        <v>7058.53</v>
      </c>
      <c r="F82" s="170">
        <v>7058.53</v>
      </c>
      <c r="G82" s="170">
        <v>0</v>
      </c>
      <c r="H82" s="170">
        <v>0</v>
      </c>
      <c r="I82" s="170">
        <v>7058.53</v>
      </c>
      <c r="J82" s="170">
        <f>D82-I82</f>
        <v>0</v>
      </c>
      <c r="K82" s="170">
        <f>E82-I82</f>
        <v>0</v>
      </c>
    </row>
    <row r="83" spans="1:11" s="75" customFormat="1" ht="13.5">
      <c r="A83" s="51" t="s">
        <v>145</v>
      </c>
      <c r="B83" s="74"/>
      <c r="C83" s="156"/>
      <c r="D83" s="172">
        <f t="shared" ref="D83:K83" si="47">SUM(D81:D82)</f>
        <v>25996.05</v>
      </c>
      <c r="E83" s="172">
        <f t="shared" si="47"/>
        <v>25996.05</v>
      </c>
      <c r="F83" s="172">
        <f t="shared" ref="F83" si="48">SUM(F81:F82)</f>
        <v>25995.949999999997</v>
      </c>
      <c r="G83" s="172">
        <f t="shared" si="47"/>
        <v>0</v>
      </c>
      <c r="H83" s="172">
        <f t="shared" si="47"/>
        <v>0</v>
      </c>
      <c r="I83" s="172">
        <f t="shared" si="47"/>
        <v>25995.949999999997</v>
      </c>
      <c r="J83" s="172">
        <f t="shared" si="47"/>
        <v>0.10000000000218279</v>
      </c>
      <c r="K83" s="172">
        <f t="shared" si="47"/>
        <v>0.10000000000218279</v>
      </c>
    </row>
    <row r="84" spans="1:11" ht="147" hidden="1" customHeight="1">
      <c r="A84" s="81" t="s">
        <v>396</v>
      </c>
      <c r="B84" s="27"/>
      <c r="C84" s="153"/>
      <c r="D84" s="170">
        <f>D85+D86</f>
        <v>0</v>
      </c>
      <c r="E84" s="170">
        <f>E85+E86</f>
        <v>0</v>
      </c>
      <c r="F84" s="170">
        <v>0</v>
      </c>
      <c r="G84" s="170">
        <f t="shared" ref="G84:K84" si="49">G85+G86</f>
        <v>0</v>
      </c>
      <c r="H84" s="170">
        <f t="shared" si="49"/>
        <v>0</v>
      </c>
      <c r="I84" s="170">
        <v>0</v>
      </c>
      <c r="J84" s="170">
        <f t="shared" si="49"/>
        <v>0</v>
      </c>
      <c r="K84" s="170">
        <f t="shared" si="49"/>
        <v>0</v>
      </c>
    </row>
    <row r="85" spans="1:11" ht="12.75" hidden="1" customHeight="1">
      <c r="A85" s="71" t="s">
        <v>16</v>
      </c>
      <c r="B85" s="27"/>
      <c r="C85" s="153" t="s">
        <v>269</v>
      </c>
      <c r="D85" s="170">
        <v>0</v>
      </c>
      <c r="E85" s="170">
        <v>0</v>
      </c>
      <c r="F85" s="170">
        <v>0</v>
      </c>
      <c r="G85" s="170"/>
      <c r="H85" s="170"/>
      <c r="I85" s="170">
        <v>0</v>
      </c>
      <c r="J85" s="170">
        <f>D85-I85</f>
        <v>0</v>
      </c>
      <c r="K85" s="170">
        <f>E85-I85</f>
        <v>0</v>
      </c>
    </row>
    <row r="86" spans="1:11" ht="12.75" hidden="1" customHeight="1">
      <c r="A86" s="71" t="s">
        <v>16</v>
      </c>
      <c r="B86" s="27"/>
      <c r="C86" s="153" t="s">
        <v>270</v>
      </c>
      <c r="D86" s="170">
        <v>0</v>
      </c>
      <c r="E86" s="170">
        <v>0</v>
      </c>
      <c r="F86" s="170">
        <v>0</v>
      </c>
      <c r="G86" s="170"/>
      <c r="H86" s="170"/>
      <c r="I86" s="170">
        <v>0</v>
      </c>
      <c r="J86" s="170">
        <f>D86-I86</f>
        <v>0</v>
      </c>
      <c r="K86" s="170">
        <f>E86-I86</f>
        <v>0</v>
      </c>
    </row>
    <row r="87" spans="1:11">
      <c r="A87" s="71"/>
      <c r="B87" s="27"/>
      <c r="C87" s="153"/>
      <c r="D87" s="170"/>
      <c r="E87" s="170"/>
      <c r="F87" s="170"/>
      <c r="G87" s="170"/>
      <c r="H87" s="170"/>
      <c r="I87" s="170"/>
      <c r="J87" s="170"/>
      <c r="K87" s="170"/>
    </row>
    <row r="88" spans="1:11" s="61" customFormat="1" ht="130.5" customHeight="1">
      <c r="A88" s="82" t="s">
        <v>172</v>
      </c>
      <c r="B88" s="60"/>
      <c r="C88" s="154"/>
      <c r="D88" s="173">
        <f>D89+D90</f>
        <v>0</v>
      </c>
      <c r="E88" s="173">
        <f>E89+E90</f>
        <v>0</v>
      </c>
      <c r="F88" s="173">
        <f t="shared" ref="F88" si="50">F89+F90</f>
        <v>0</v>
      </c>
      <c r="G88" s="173">
        <f t="shared" ref="G88:K88" si="51">G89+G90</f>
        <v>0</v>
      </c>
      <c r="H88" s="173">
        <f t="shared" si="51"/>
        <v>0</v>
      </c>
      <c r="I88" s="173">
        <f t="shared" si="51"/>
        <v>0</v>
      </c>
      <c r="J88" s="173">
        <f t="shared" si="51"/>
        <v>0</v>
      </c>
      <c r="K88" s="173">
        <f t="shared" si="51"/>
        <v>0</v>
      </c>
    </row>
    <row r="89" spans="1:11">
      <c r="A89" s="71" t="s">
        <v>16</v>
      </c>
      <c r="B89" s="27"/>
      <c r="C89" s="153" t="s">
        <v>239</v>
      </c>
      <c r="D89" s="170">
        <f>500-500</f>
        <v>0</v>
      </c>
      <c r="E89" s="170">
        <f>500-500</f>
        <v>0</v>
      </c>
      <c r="F89" s="170">
        <v>0</v>
      </c>
      <c r="G89" s="170">
        <v>0</v>
      </c>
      <c r="H89" s="170">
        <v>0</v>
      </c>
      <c r="I89" s="170">
        <v>0</v>
      </c>
      <c r="J89" s="170">
        <f>D89-I89</f>
        <v>0</v>
      </c>
      <c r="K89" s="170">
        <f>E89-I89</f>
        <v>0</v>
      </c>
    </row>
    <row r="90" spans="1:11" ht="12.75" hidden="1" customHeight="1">
      <c r="A90" s="71" t="s">
        <v>16</v>
      </c>
      <c r="B90" s="27"/>
      <c r="C90" s="153" t="s">
        <v>240</v>
      </c>
      <c r="D90" s="170">
        <f>1000-1000</f>
        <v>0</v>
      </c>
      <c r="E90" s="170">
        <f>1000-1000</f>
        <v>0</v>
      </c>
      <c r="F90" s="170">
        <v>0</v>
      </c>
      <c r="G90" s="170"/>
      <c r="H90" s="170"/>
      <c r="I90" s="170">
        <v>0</v>
      </c>
      <c r="J90" s="170">
        <f>D90-I90</f>
        <v>0</v>
      </c>
      <c r="K90" s="170">
        <f>E90-I90</f>
        <v>0</v>
      </c>
    </row>
    <row r="91" spans="1:11">
      <c r="A91" s="71"/>
      <c r="B91" s="27"/>
      <c r="C91" s="153"/>
      <c r="D91" s="170"/>
      <c r="E91" s="170"/>
      <c r="F91" s="170"/>
      <c r="G91" s="170"/>
      <c r="H91" s="170"/>
      <c r="I91" s="170"/>
      <c r="J91" s="170"/>
      <c r="K91" s="170"/>
    </row>
    <row r="92" spans="1:11" ht="51">
      <c r="A92" s="86" t="s">
        <v>414</v>
      </c>
      <c r="B92" s="27"/>
      <c r="C92" s="154" t="s">
        <v>413</v>
      </c>
      <c r="D92" s="173">
        <f>D93</f>
        <v>5402</v>
      </c>
      <c r="E92" s="173">
        <f>E93</f>
        <v>5402</v>
      </c>
      <c r="F92" s="173">
        <f t="shared" ref="F92:I92" si="52">F93</f>
        <v>5402</v>
      </c>
      <c r="G92" s="173">
        <f t="shared" si="52"/>
        <v>0</v>
      </c>
      <c r="H92" s="173">
        <f t="shared" si="52"/>
        <v>0</v>
      </c>
      <c r="I92" s="173">
        <f t="shared" si="52"/>
        <v>5402</v>
      </c>
      <c r="J92" s="173">
        <f t="shared" ref="J92" si="53">J93</f>
        <v>0</v>
      </c>
      <c r="K92" s="173">
        <f t="shared" ref="K92" si="54">K93</f>
        <v>0</v>
      </c>
    </row>
    <row r="93" spans="1:11" s="61" customFormat="1" ht="25.5">
      <c r="A93" s="71" t="s">
        <v>19</v>
      </c>
      <c r="B93" s="60"/>
      <c r="C93" s="154" t="s">
        <v>430</v>
      </c>
      <c r="D93" s="173">
        <v>5402</v>
      </c>
      <c r="E93" s="173">
        <v>5402</v>
      </c>
      <c r="F93" s="173">
        <v>5402</v>
      </c>
      <c r="G93" s="170">
        <v>0</v>
      </c>
      <c r="H93" s="170">
        <v>0</v>
      </c>
      <c r="I93" s="173">
        <v>5402</v>
      </c>
      <c r="J93" s="173">
        <f>D93-I93</f>
        <v>0</v>
      </c>
      <c r="K93" s="173">
        <f>E93-I93</f>
        <v>0</v>
      </c>
    </row>
    <row r="94" spans="1:11" s="61" customFormat="1">
      <c r="A94" s="71"/>
      <c r="B94" s="60"/>
      <c r="C94" s="154"/>
      <c r="D94" s="173"/>
      <c r="E94" s="173"/>
      <c r="F94" s="173"/>
      <c r="G94" s="173"/>
      <c r="H94" s="173"/>
      <c r="I94" s="173"/>
      <c r="J94" s="173"/>
      <c r="K94" s="173"/>
    </row>
    <row r="95" spans="1:11">
      <c r="A95" s="71" t="s">
        <v>17</v>
      </c>
      <c r="B95" s="27"/>
      <c r="C95" s="154" t="s">
        <v>429</v>
      </c>
      <c r="D95" s="170">
        <v>66836</v>
      </c>
      <c r="E95" s="170">
        <v>66836</v>
      </c>
      <c r="F95" s="170">
        <v>66836</v>
      </c>
      <c r="G95" s="170">
        <v>0</v>
      </c>
      <c r="H95" s="170">
        <v>0</v>
      </c>
      <c r="I95" s="170">
        <v>66836</v>
      </c>
      <c r="J95" s="170">
        <f>D95-I95</f>
        <v>0</v>
      </c>
      <c r="K95" s="170">
        <f>E95-I95</f>
        <v>0</v>
      </c>
    </row>
    <row r="96" spans="1:11" s="61" customFormat="1">
      <c r="A96" s="77"/>
      <c r="B96" s="60"/>
      <c r="C96" s="154"/>
      <c r="D96" s="173"/>
      <c r="E96" s="173"/>
      <c r="F96" s="173"/>
      <c r="G96" s="173"/>
      <c r="H96" s="173"/>
      <c r="I96" s="173"/>
      <c r="J96" s="173"/>
      <c r="K96" s="173"/>
    </row>
    <row r="97" spans="1:12" s="61" customFormat="1">
      <c r="A97" s="83" t="s">
        <v>159</v>
      </c>
      <c r="B97" s="60"/>
      <c r="C97" s="154" t="s">
        <v>160</v>
      </c>
      <c r="D97" s="173">
        <f>D107</f>
        <v>0</v>
      </c>
      <c r="E97" s="173">
        <f>E107</f>
        <v>0</v>
      </c>
      <c r="F97" s="173">
        <f t="shared" ref="F97" si="55">F107</f>
        <v>0</v>
      </c>
      <c r="G97" s="173">
        <f t="shared" ref="G97:K97" si="56">G107</f>
        <v>0</v>
      </c>
      <c r="H97" s="173">
        <f t="shared" si="56"/>
        <v>0</v>
      </c>
      <c r="I97" s="173">
        <f t="shared" si="56"/>
        <v>0</v>
      </c>
      <c r="J97" s="173">
        <f t="shared" si="56"/>
        <v>0</v>
      </c>
      <c r="K97" s="173">
        <f t="shared" si="56"/>
        <v>0</v>
      </c>
      <c r="L97" s="72"/>
    </row>
    <row r="98" spans="1:12" s="61" customFormat="1" ht="12.75" hidden="1" customHeight="1">
      <c r="A98" s="71" t="s">
        <v>16</v>
      </c>
      <c r="B98" s="60"/>
      <c r="C98" s="153" t="s">
        <v>109</v>
      </c>
      <c r="D98" s="170"/>
      <c r="E98" s="170"/>
      <c r="F98" s="170"/>
      <c r="G98" s="173"/>
      <c r="H98" s="173"/>
      <c r="I98" s="170"/>
      <c r="J98" s="170">
        <f>D98-I98</f>
        <v>0</v>
      </c>
      <c r="K98" s="170">
        <f>E98-I98</f>
        <v>0</v>
      </c>
      <c r="L98" s="72"/>
    </row>
    <row r="99" spans="1:12" s="61" customFormat="1" ht="12.75" hidden="1" customHeight="1">
      <c r="A99" s="71" t="s">
        <v>16</v>
      </c>
      <c r="B99" s="60"/>
      <c r="C99" s="153" t="s">
        <v>110</v>
      </c>
      <c r="D99" s="170"/>
      <c r="E99" s="170"/>
      <c r="F99" s="170"/>
      <c r="G99" s="173"/>
      <c r="H99" s="173"/>
      <c r="I99" s="170"/>
      <c r="J99" s="170">
        <f>D99-I99</f>
        <v>0</v>
      </c>
      <c r="K99" s="170">
        <f>E99-I99</f>
        <v>0</v>
      </c>
      <c r="L99" s="72"/>
    </row>
    <row r="100" spans="1:12" s="61" customFormat="1" ht="12.75" hidden="1" customHeight="1">
      <c r="A100" s="71"/>
      <c r="B100" s="60"/>
      <c r="C100" s="154"/>
      <c r="D100" s="173">
        <f>SUM(D98:D99)</f>
        <v>0</v>
      </c>
      <c r="E100" s="173">
        <f>SUM(E98:E99)</f>
        <v>0</v>
      </c>
      <c r="F100" s="173">
        <f t="shared" ref="F100" si="57">SUM(F98:F99)</f>
        <v>0</v>
      </c>
      <c r="G100" s="173">
        <f t="shared" ref="G100:K100" si="58">SUM(G98:G99)</f>
        <v>0</v>
      </c>
      <c r="H100" s="173">
        <f t="shared" si="58"/>
        <v>0</v>
      </c>
      <c r="I100" s="173">
        <f t="shared" si="58"/>
        <v>0</v>
      </c>
      <c r="J100" s="173">
        <f t="shared" si="58"/>
        <v>0</v>
      </c>
      <c r="K100" s="173">
        <f t="shared" si="58"/>
        <v>0</v>
      </c>
      <c r="L100" s="72"/>
    </row>
    <row r="101" spans="1:12" s="61" customFormat="1" ht="12.75" hidden="1" customHeight="1">
      <c r="A101" s="84"/>
      <c r="B101" s="60"/>
      <c r="C101" s="154"/>
      <c r="D101" s="173"/>
      <c r="E101" s="173"/>
      <c r="F101" s="173"/>
      <c r="G101" s="173"/>
      <c r="H101" s="173"/>
      <c r="I101" s="173"/>
      <c r="J101" s="170"/>
      <c r="K101" s="170"/>
      <c r="L101" s="72"/>
    </row>
    <row r="102" spans="1:12" ht="12.75" hidden="1" customHeight="1">
      <c r="A102" s="71" t="s">
        <v>21</v>
      </c>
      <c r="B102" s="27"/>
      <c r="C102" s="153" t="s">
        <v>95</v>
      </c>
      <c r="D102" s="170"/>
      <c r="E102" s="170"/>
      <c r="F102" s="170"/>
      <c r="G102" s="170"/>
      <c r="H102" s="170"/>
      <c r="I102" s="170"/>
      <c r="J102" s="170">
        <f>D102-I102</f>
        <v>0</v>
      </c>
      <c r="K102" s="170">
        <f>E102-I102</f>
        <v>0</v>
      </c>
    </row>
    <row r="103" spans="1:12" ht="12.75" hidden="1" customHeight="1">
      <c r="A103" s="80" t="s">
        <v>101</v>
      </c>
      <c r="B103" s="27"/>
      <c r="C103" s="153" t="s">
        <v>96</v>
      </c>
      <c r="D103" s="170"/>
      <c r="E103" s="170"/>
      <c r="F103" s="170"/>
      <c r="G103" s="170"/>
      <c r="H103" s="170"/>
      <c r="I103" s="170"/>
      <c r="J103" s="170">
        <f>D103-I103</f>
        <v>0</v>
      </c>
      <c r="K103" s="170">
        <f>E103-I103</f>
        <v>0</v>
      </c>
    </row>
    <row r="104" spans="1:12" ht="14.25" hidden="1" customHeight="1">
      <c r="A104" s="80" t="s">
        <v>102</v>
      </c>
      <c r="B104" s="27"/>
      <c r="C104" s="153" t="s">
        <v>97</v>
      </c>
      <c r="D104" s="170"/>
      <c r="E104" s="170"/>
      <c r="F104" s="170"/>
      <c r="G104" s="170"/>
      <c r="H104" s="170"/>
      <c r="I104" s="170"/>
      <c r="J104" s="170">
        <f>D104-I104</f>
        <v>0</v>
      </c>
      <c r="K104" s="170">
        <f>E104-I104</f>
        <v>0</v>
      </c>
    </row>
    <row r="105" spans="1:12" s="75" customFormat="1" ht="13.5" hidden="1" customHeight="1">
      <c r="A105" s="76" t="s">
        <v>80</v>
      </c>
      <c r="B105" s="74"/>
      <c r="C105" s="156"/>
      <c r="D105" s="172">
        <f t="shared" ref="D105:K105" si="59">SUM(D103:D104)</f>
        <v>0</v>
      </c>
      <c r="E105" s="172">
        <f>SUM(E103:E104)</f>
        <v>0</v>
      </c>
      <c r="F105" s="172">
        <f t="shared" ref="F105" si="60">SUM(F103:F104)</f>
        <v>0</v>
      </c>
      <c r="G105" s="172">
        <f t="shared" si="59"/>
        <v>0</v>
      </c>
      <c r="H105" s="172">
        <f t="shared" si="59"/>
        <v>0</v>
      </c>
      <c r="I105" s="172">
        <f t="shared" si="59"/>
        <v>0</v>
      </c>
      <c r="J105" s="172">
        <f t="shared" si="59"/>
        <v>0</v>
      </c>
      <c r="K105" s="172">
        <f t="shared" si="59"/>
        <v>0</v>
      </c>
      <c r="L105" s="85"/>
    </row>
    <row r="106" spans="1:12" s="61" customFormat="1" ht="12.75" hidden="1" customHeight="1">
      <c r="A106" s="77" t="s">
        <v>118</v>
      </c>
      <c r="B106" s="60"/>
      <c r="C106" s="154"/>
      <c r="D106" s="173">
        <f t="shared" ref="D106:K106" si="61">D102+D105</f>
        <v>0</v>
      </c>
      <c r="E106" s="173">
        <f>E102+E105</f>
        <v>0</v>
      </c>
      <c r="F106" s="173">
        <f t="shared" ref="F106" si="62">F102+F105</f>
        <v>0</v>
      </c>
      <c r="G106" s="173">
        <f t="shared" si="61"/>
        <v>0</v>
      </c>
      <c r="H106" s="173">
        <f t="shared" si="61"/>
        <v>0</v>
      </c>
      <c r="I106" s="173">
        <f t="shared" si="61"/>
        <v>0</v>
      </c>
      <c r="J106" s="173">
        <f t="shared" si="61"/>
        <v>0</v>
      </c>
      <c r="K106" s="173">
        <f t="shared" si="61"/>
        <v>0</v>
      </c>
      <c r="L106" s="72"/>
    </row>
    <row r="107" spans="1:12" s="61" customFormat="1">
      <c r="A107" s="71" t="s">
        <v>17</v>
      </c>
      <c r="B107" s="60"/>
      <c r="C107" s="154" t="s">
        <v>193</v>
      </c>
      <c r="D107" s="173">
        <f>5000-5000</f>
        <v>0</v>
      </c>
      <c r="E107" s="173">
        <v>0</v>
      </c>
      <c r="F107" s="173">
        <v>0</v>
      </c>
      <c r="G107" s="170">
        <v>0</v>
      </c>
      <c r="H107" s="170">
        <v>0</v>
      </c>
      <c r="I107" s="173">
        <v>0</v>
      </c>
      <c r="J107" s="173">
        <f>D107-I107</f>
        <v>0</v>
      </c>
      <c r="K107" s="173">
        <f>E107-I107</f>
        <v>0</v>
      </c>
    </row>
    <row r="108" spans="1:12" s="61" customFormat="1">
      <c r="A108" s="86"/>
      <c r="B108" s="60"/>
      <c r="C108" s="154"/>
      <c r="D108" s="173"/>
      <c r="E108" s="173"/>
      <c r="F108" s="173"/>
      <c r="G108" s="173"/>
      <c r="H108" s="173"/>
      <c r="I108" s="173"/>
      <c r="J108" s="173"/>
      <c r="K108" s="173"/>
    </row>
    <row r="109" spans="1:12" s="61" customFormat="1">
      <c r="A109" s="47" t="s">
        <v>130</v>
      </c>
      <c r="B109" s="87"/>
      <c r="C109" s="154" t="s">
        <v>161</v>
      </c>
      <c r="D109" s="173">
        <f>D111</f>
        <v>2186</v>
      </c>
      <c r="E109" s="173">
        <f>E111</f>
        <v>2186</v>
      </c>
      <c r="F109" s="173">
        <f t="shared" ref="F109" si="63">F111</f>
        <v>2186</v>
      </c>
      <c r="G109" s="173">
        <f t="shared" ref="G109:K109" si="64">G111</f>
        <v>0</v>
      </c>
      <c r="H109" s="173">
        <f t="shared" si="64"/>
        <v>0</v>
      </c>
      <c r="I109" s="173">
        <f t="shared" si="64"/>
        <v>2186</v>
      </c>
      <c r="J109" s="173">
        <f t="shared" si="64"/>
        <v>0</v>
      </c>
      <c r="K109" s="173">
        <f t="shared" si="64"/>
        <v>0</v>
      </c>
    </row>
    <row r="110" spans="1:12" s="61" customFormat="1" ht="12.75" hidden="1" customHeight="1">
      <c r="A110" s="71" t="s">
        <v>18</v>
      </c>
      <c r="B110" s="87"/>
      <c r="C110" s="153" t="s">
        <v>121</v>
      </c>
      <c r="D110" s="170">
        <v>0</v>
      </c>
      <c r="E110" s="170">
        <v>0</v>
      </c>
      <c r="F110" s="170">
        <v>0</v>
      </c>
      <c r="G110" s="170"/>
      <c r="H110" s="170"/>
      <c r="I110" s="170">
        <v>0</v>
      </c>
      <c r="J110" s="170">
        <f>D110-I110</f>
        <v>0</v>
      </c>
      <c r="K110" s="170">
        <f>E110-I110</f>
        <v>0</v>
      </c>
    </row>
    <row r="111" spans="1:12" s="61" customFormat="1" ht="25.5">
      <c r="A111" s="73" t="s">
        <v>27</v>
      </c>
      <c r="B111" s="87"/>
      <c r="C111" s="153" t="s">
        <v>194</v>
      </c>
      <c r="D111" s="170">
        <f>2206-20</f>
        <v>2186</v>
      </c>
      <c r="E111" s="170">
        <f>2206-20</f>
        <v>2186</v>
      </c>
      <c r="F111" s="170">
        <v>2186</v>
      </c>
      <c r="G111" s="170">
        <v>0</v>
      </c>
      <c r="H111" s="170">
        <v>0</v>
      </c>
      <c r="I111" s="170">
        <v>2186</v>
      </c>
      <c r="J111" s="170">
        <f>D111-I111</f>
        <v>0</v>
      </c>
      <c r="K111" s="170">
        <f>E111-I111</f>
        <v>0</v>
      </c>
    </row>
    <row r="112" spans="1:12" s="61" customFormat="1">
      <c r="A112" s="79"/>
      <c r="B112" s="87"/>
      <c r="C112" s="154"/>
      <c r="D112" s="173"/>
      <c r="E112" s="173"/>
      <c r="F112" s="173"/>
      <c r="G112" s="173"/>
      <c r="H112" s="173"/>
      <c r="I112" s="173"/>
      <c r="J112" s="173"/>
      <c r="K112" s="173"/>
    </row>
    <row r="113" spans="1:11" s="61" customFormat="1">
      <c r="A113" s="47" t="s">
        <v>131</v>
      </c>
      <c r="B113" s="87"/>
      <c r="C113" s="154" t="s">
        <v>162</v>
      </c>
      <c r="D113" s="173">
        <f t="shared" ref="D113:I113" si="65">D114</f>
        <v>101446</v>
      </c>
      <c r="E113" s="173">
        <f t="shared" si="65"/>
        <v>101446</v>
      </c>
      <c r="F113" s="173">
        <f t="shared" si="65"/>
        <v>101446</v>
      </c>
      <c r="G113" s="173">
        <f t="shared" si="65"/>
        <v>0</v>
      </c>
      <c r="H113" s="173">
        <f t="shared" si="65"/>
        <v>0</v>
      </c>
      <c r="I113" s="173">
        <f t="shared" si="65"/>
        <v>101446</v>
      </c>
      <c r="J113" s="173">
        <f>J114</f>
        <v>0</v>
      </c>
      <c r="K113" s="173">
        <f>K114</f>
        <v>0</v>
      </c>
    </row>
    <row r="114" spans="1:11" s="61" customFormat="1" ht="25.5">
      <c r="A114" s="47" t="s">
        <v>132</v>
      </c>
      <c r="B114" s="87"/>
      <c r="C114" s="154" t="s">
        <v>163</v>
      </c>
      <c r="D114" s="173">
        <f t="shared" ref="D114:I114" si="66">D115+D124+D126+D127+D133+D132</f>
        <v>101446</v>
      </c>
      <c r="E114" s="173">
        <f t="shared" si="66"/>
        <v>101446</v>
      </c>
      <c r="F114" s="173">
        <f t="shared" ref="F114" si="67">F115+F124+F126+F127+F133+F132</f>
        <v>101446</v>
      </c>
      <c r="G114" s="173">
        <f t="shared" si="66"/>
        <v>0</v>
      </c>
      <c r="H114" s="173">
        <f t="shared" si="66"/>
        <v>0</v>
      </c>
      <c r="I114" s="173">
        <f t="shared" si="66"/>
        <v>101446</v>
      </c>
      <c r="J114" s="173">
        <f>J115+J124+J126+J127+J133</f>
        <v>0</v>
      </c>
      <c r="K114" s="173">
        <f>K115+K124+K126+K127+K133</f>
        <v>0</v>
      </c>
    </row>
    <row r="115" spans="1:11" s="61" customFormat="1" ht="25.5">
      <c r="A115" s="51" t="s">
        <v>144</v>
      </c>
      <c r="B115" s="87"/>
      <c r="C115" s="154"/>
      <c r="D115" s="173">
        <f>D116+D118+D122</f>
        <v>52671.81</v>
      </c>
      <c r="E115" s="173">
        <f>E116+E118+E122</f>
        <v>52671.81</v>
      </c>
      <c r="F115" s="173">
        <f t="shared" ref="F115" si="68">F116+F118+F122</f>
        <v>52671.81</v>
      </c>
      <c r="G115" s="173">
        <f t="shared" ref="G115:K115" si="69">G116+G118+G122</f>
        <v>0</v>
      </c>
      <c r="H115" s="173">
        <f t="shared" si="69"/>
        <v>0</v>
      </c>
      <c r="I115" s="173">
        <f t="shared" si="69"/>
        <v>52671.81</v>
      </c>
      <c r="J115" s="173">
        <f t="shared" si="69"/>
        <v>0</v>
      </c>
      <c r="K115" s="173">
        <f t="shared" si="69"/>
        <v>0</v>
      </c>
    </row>
    <row r="116" spans="1:11">
      <c r="A116" s="71" t="s">
        <v>11</v>
      </c>
      <c r="B116" s="27"/>
      <c r="C116" s="153" t="s">
        <v>195</v>
      </c>
      <c r="D116" s="170">
        <f>44829-1000-3183.5</f>
        <v>40645.5</v>
      </c>
      <c r="E116" s="170">
        <f>44829-1000-3183.5</f>
        <v>40645.5</v>
      </c>
      <c r="F116" s="170">
        <f>36747.67+3897.83</f>
        <v>40645.5</v>
      </c>
      <c r="G116" s="170">
        <v>0</v>
      </c>
      <c r="H116" s="170">
        <v>0</v>
      </c>
      <c r="I116" s="170">
        <f>36747.67+3897.83</f>
        <v>40645.5</v>
      </c>
      <c r="J116" s="170">
        <f>D116-I116</f>
        <v>0</v>
      </c>
      <c r="K116" s="170">
        <f>E116-I116</f>
        <v>0</v>
      </c>
    </row>
    <row r="117" spans="1:11" ht="38.25" hidden="1" customHeight="1">
      <c r="A117" s="71" t="s">
        <v>23</v>
      </c>
      <c r="B117" s="27"/>
      <c r="C117" s="153" t="s">
        <v>30</v>
      </c>
      <c r="D117" s="170"/>
      <c r="E117" s="170"/>
      <c r="F117" s="170"/>
      <c r="G117" s="170">
        <v>0</v>
      </c>
      <c r="H117" s="170">
        <v>0</v>
      </c>
      <c r="I117" s="170"/>
      <c r="J117" s="170">
        <f>D117-I117</f>
        <v>0</v>
      </c>
      <c r="K117" s="170">
        <f>E117-I117</f>
        <v>0</v>
      </c>
    </row>
    <row r="118" spans="1:11" ht="38.25">
      <c r="A118" s="71" t="s">
        <v>24</v>
      </c>
      <c r="B118" s="27"/>
      <c r="C118" s="153" t="s">
        <v>196</v>
      </c>
      <c r="D118" s="170">
        <f>2500-500-2000</f>
        <v>0</v>
      </c>
      <c r="E118" s="170">
        <f>2500-500-2000</f>
        <v>0</v>
      </c>
      <c r="F118" s="170">
        <v>0</v>
      </c>
      <c r="G118" s="170">
        <v>0</v>
      </c>
      <c r="H118" s="170">
        <v>0</v>
      </c>
      <c r="I118" s="170">
        <v>0</v>
      </c>
      <c r="J118" s="170">
        <f>D118-I118</f>
        <v>0</v>
      </c>
      <c r="K118" s="170">
        <f>E118-I118</f>
        <v>0</v>
      </c>
    </row>
    <row r="119" spans="1:11" s="75" customFormat="1" ht="13.5" hidden="1" customHeight="1">
      <c r="A119" s="76" t="s">
        <v>82</v>
      </c>
      <c r="B119" s="74"/>
      <c r="C119" s="156"/>
      <c r="D119" s="172">
        <f t="shared" ref="D119:K119" si="70">SUM(D117:D118)</f>
        <v>0</v>
      </c>
      <c r="E119" s="172">
        <f t="shared" ref="E119" si="71">SUM(E117:E118)</f>
        <v>0</v>
      </c>
      <c r="F119" s="172">
        <f t="shared" ref="F119" si="72">SUM(F117:F118)</f>
        <v>0</v>
      </c>
      <c r="G119" s="170">
        <v>0</v>
      </c>
      <c r="H119" s="170">
        <v>0</v>
      </c>
      <c r="I119" s="172">
        <f t="shared" si="70"/>
        <v>0</v>
      </c>
      <c r="J119" s="172">
        <f t="shared" si="70"/>
        <v>0</v>
      </c>
      <c r="K119" s="172">
        <f t="shared" si="70"/>
        <v>0</v>
      </c>
    </row>
    <row r="120" spans="1:11" ht="25.5">
      <c r="A120" s="80" t="s">
        <v>101</v>
      </c>
      <c r="B120" s="27"/>
      <c r="C120" s="153" t="s">
        <v>197</v>
      </c>
      <c r="D120" s="170">
        <f>9860-772-145.99</f>
        <v>8942.01</v>
      </c>
      <c r="E120" s="170">
        <f>9860-772-145.99</f>
        <v>8942.01</v>
      </c>
      <c r="F120" s="170">
        <f>1448.38+1448.37+724.18+796.37+724.19+1139.53+380.14+1368.45+760.31+152.09</f>
        <v>8942.01</v>
      </c>
      <c r="G120" s="170">
        <v>0</v>
      </c>
      <c r="H120" s="170">
        <v>0</v>
      </c>
      <c r="I120" s="170">
        <f>1448.38+1448.37+724.18+796.37+724.19+1139.53+380.14+1368.45+760.31+152.09</f>
        <v>8942.01</v>
      </c>
      <c r="J120" s="170">
        <f>D120-I120</f>
        <v>0</v>
      </c>
      <c r="K120" s="170">
        <f>E120-I120</f>
        <v>0</v>
      </c>
    </row>
    <row r="121" spans="1:11">
      <c r="A121" s="80" t="s">
        <v>102</v>
      </c>
      <c r="B121" s="27"/>
      <c r="C121" s="153" t="s">
        <v>198</v>
      </c>
      <c r="D121" s="170">
        <f>3678-593.7</f>
        <v>3084.3</v>
      </c>
      <c r="E121" s="170">
        <f>3678-593.7</f>
        <v>3084.3</v>
      </c>
      <c r="F121" s="170">
        <f>13.16+335.77+190.92+269.92+234.48+167.88+95.46+6.58+184.62+104.98+7.24+167.88+95.46+6.58+15.53+264.16+10.36+3.46+50.11+88.12+100.22+6.91+176.25+100.22+6.91+176.25+204.87</f>
        <v>3084.2999999999993</v>
      </c>
      <c r="G121" s="170">
        <v>0</v>
      </c>
      <c r="H121" s="170">
        <v>0</v>
      </c>
      <c r="I121" s="170">
        <f>13.16+335.77+190.92+269.92+234.48+167.88+95.46+6.58+184.62+104.98+7.24+167.88+95.46+6.58+15.53+264.16+10.36+3.46+50.11+88.12+100.22+6.91+176.25+100.22+6.91+176.25+204.87</f>
        <v>3084.2999999999993</v>
      </c>
      <c r="J121" s="170">
        <f>D121-I121</f>
        <v>0</v>
      </c>
      <c r="K121" s="170">
        <f>E121-I121</f>
        <v>0</v>
      </c>
    </row>
    <row r="122" spans="1:11" s="75" customFormat="1" ht="13.5">
      <c r="A122" s="51" t="s">
        <v>145</v>
      </c>
      <c r="B122" s="74"/>
      <c r="C122" s="156"/>
      <c r="D122" s="172">
        <f t="shared" ref="D122:K122" si="73">SUM(D120:D121)</f>
        <v>12026.310000000001</v>
      </c>
      <c r="E122" s="172">
        <f>SUM(E120:E121)</f>
        <v>12026.310000000001</v>
      </c>
      <c r="F122" s="172">
        <f t="shared" ref="F122" si="74">SUM(F120:F121)</f>
        <v>12026.31</v>
      </c>
      <c r="G122" s="172">
        <f t="shared" si="73"/>
        <v>0</v>
      </c>
      <c r="H122" s="172">
        <f t="shared" si="73"/>
        <v>0</v>
      </c>
      <c r="I122" s="172">
        <f t="shared" si="73"/>
        <v>12026.31</v>
      </c>
      <c r="J122" s="172">
        <f t="shared" si="73"/>
        <v>0</v>
      </c>
      <c r="K122" s="172">
        <f t="shared" si="73"/>
        <v>0</v>
      </c>
    </row>
    <row r="123" spans="1:11" s="75" customFormat="1" ht="13.5">
      <c r="A123" s="88"/>
      <c r="B123" s="89"/>
      <c r="C123" s="160"/>
      <c r="D123" s="174"/>
      <c r="E123" s="174"/>
      <c r="F123" s="172"/>
      <c r="G123" s="172"/>
      <c r="H123" s="172"/>
      <c r="I123" s="172"/>
      <c r="J123" s="172"/>
      <c r="K123" s="172"/>
    </row>
    <row r="124" spans="1:11">
      <c r="A124" s="71" t="s">
        <v>16</v>
      </c>
      <c r="B124" s="27"/>
      <c r="C124" s="153" t="s">
        <v>244</v>
      </c>
      <c r="D124" s="170">
        <f>1650-420-1230</f>
        <v>0</v>
      </c>
      <c r="E124" s="170">
        <f>1650-420-1230</f>
        <v>0</v>
      </c>
      <c r="F124" s="170">
        <v>0</v>
      </c>
      <c r="G124" s="170">
        <v>0</v>
      </c>
      <c r="H124" s="170">
        <v>0</v>
      </c>
      <c r="I124" s="170">
        <v>0</v>
      </c>
      <c r="J124" s="170">
        <f>D124-I124</f>
        <v>0</v>
      </c>
      <c r="K124" s="170">
        <f>E124-I124</f>
        <v>0</v>
      </c>
    </row>
    <row r="125" spans="1:11" s="75" customFormat="1" ht="13.5">
      <c r="A125" s="76"/>
      <c r="B125" s="74"/>
      <c r="C125" s="156"/>
      <c r="D125" s="172"/>
      <c r="E125" s="172"/>
      <c r="F125" s="172"/>
      <c r="G125" s="172"/>
      <c r="H125" s="172"/>
      <c r="I125" s="172"/>
      <c r="J125" s="172"/>
      <c r="K125" s="172"/>
    </row>
    <row r="126" spans="1:11">
      <c r="A126" s="71" t="s">
        <v>13</v>
      </c>
      <c r="B126" s="27"/>
      <c r="C126" s="153" t="s">
        <v>199</v>
      </c>
      <c r="D126" s="170">
        <f>3830-958-2872</f>
        <v>0</v>
      </c>
      <c r="E126" s="170">
        <f>3830-958-2872</f>
        <v>0</v>
      </c>
      <c r="F126" s="170">
        <v>0</v>
      </c>
      <c r="G126" s="170">
        <v>0</v>
      </c>
      <c r="H126" s="170">
        <v>0</v>
      </c>
      <c r="I126" s="170">
        <v>0</v>
      </c>
      <c r="J126" s="170">
        <f t="shared" ref="J126:J133" si="75">D126-I126</f>
        <v>0</v>
      </c>
      <c r="K126" s="170">
        <f t="shared" ref="K126:K133" si="76">E126-I126</f>
        <v>0</v>
      </c>
    </row>
    <row r="127" spans="1:11" s="26" customFormat="1" ht="13.5">
      <c r="A127" s="90" t="s">
        <v>136</v>
      </c>
      <c r="B127" s="25"/>
      <c r="C127" s="156"/>
      <c r="D127" s="172">
        <f>D128+D130</f>
        <v>1195</v>
      </c>
      <c r="E127" s="172">
        <f>E128+E130</f>
        <v>1195</v>
      </c>
      <c r="F127" s="172">
        <f t="shared" ref="F127" si="77">F128+F130</f>
        <v>1195</v>
      </c>
      <c r="G127" s="172">
        <f t="shared" ref="G127:K127" si="78">G128+G130</f>
        <v>0</v>
      </c>
      <c r="H127" s="172">
        <f t="shared" si="78"/>
        <v>0</v>
      </c>
      <c r="I127" s="172">
        <f t="shared" si="78"/>
        <v>1195</v>
      </c>
      <c r="J127" s="172">
        <f t="shared" si="78"/>
        <v>0</v>
      </c>
      <c r="K127" s="172">
        <f t="shared" si="78"/>
        <v>0</v>
      </c>
    </row>
    <row r="128" spans="1:11">
      <c r="A128" s="71" t="s">
        <v>15</v>
      </c>
      <c r="B128" s="27"/>
      <c r="C128" s="153" t="s">
        <v>200</v>
      </c>
      <c r="D128" s="170">
        <f>1600-400-1200</f>
        <v>0</v>
      </c>
      <c r="E128" s="170">
        <f>1600-400-1200</f>
        <v>0</v>
      </c>
      <c r="F128" s="170">
        <v>0</v>
      </c>
      <c r="G128" s="170">
        <v>0</v>
      </c>
      <c r="H128" s="170">
        <v>0</v>
      </c>
      <c r="I128" s="170">
        <v>0</v>
      </c>
      <c r="J128" s="170">
        <f t="shared" si="75"/>
        <v>0</v>
      </c>
      <c r="K128" s="170">
        <f t="shared" si="76"/>
        <v>0</v>
      </c>
    </row>
    <row r="129" spans="1:11" ht="12.75" hidden="1" customHeight="1">
      <c r="A129" s="71" t="s">
        <v>16</v>
      </c>
      <c r="B129" s="27"/>
      <c r="C129" s="153" t="s">
        <v>122</v>
      </c>
      <c r="D129" s="170"/>
      <c r="E129" s="170"/>
      <c r="F129" s="170">
        <v>0</v>
      </c>
      <c r="G129" s="170">
        <v>0</v>
      </c>
      <c r="H129" s="170">
        <v>0</v>
      </c>
      <c r="I129" s="170">
        <v>0</v>
      </c>
      <c r="J129" s="170">
        <f t="shared" si="75"/>
        <v>0</v>
      </c>
      <c r="K129" s="170">
        <f t="shared" si="76"/>
        <v>0</v>
      </c>
    </row>
    <row r="130" spans="1:11">
      <c r="A130" s="71" t="s">
        <v>16</v>
      </c>
      <c r="B130" s="27"/>
      <c r="C130" s="153" t="s">
        <v>245</v>
      </c>
      <c r="D130" s="170">
        <v>1195</v>
      </c>
      <c r="E130" s="170">
        <v>1195</v>
      </c>
      <c r="F130" s="170">
        <v>1195</v>
      </c>
      <c r="G130" s="170">
        <v>0</v>
      </c>
      <c r="H130" s="170">
        <v>0</v>
      </c>
      <c r="I130" s="170">
        <v>1195</v>
      </c>
      <c r="J130" s="170">
        <f t="shared" si="75"/>
        <v>0</v>
      </c>
      <c r="K130" s="170">
        <f t="shared" si="76"/>
        <v>0</v>
      </c>
    </row>
    <row r="131" spans="1:11" ht="12.75" hidden="1" customHeight="1">
      <c r="A131" s="71" t="s">
        <v>18</v>
      </c>
      <c r="B131" s="27"/>
      <c r="C131" s="153" t="s">
        <v>123</v>
      </c>
      <c r="D131" s="170">
        <v>0</v>
      </c>
      <c r="E131" s="170">
        <v>0</v>
      </c>
      <c r="F131" s="170">
        <v>0</v>
      </c>
      <c r="G131" s="170">
        <v>0</v>
      </c>
      <c r="H131" s="170">
        <v>0</v>
      </c>
      <c r="I131" s="170">
        <v>0</v>
      </c>
      <c r="J131" s="170">
        <f t="shared" si="75"/>
        <v>0</v>
      </c>
      <c r="K131" s="170">
        <f t="shared" si="76"/>
        <v>0</v>
      </c>
    </row>
    <row r="132" spans="1:11">
      <c r="A132" s="91" t="s">
        <v>18</v>
      </c>
      <c r="B132" s="27"/>
      <c r="C132" s="153" t="s">
        <v>276</v>
      </c>
      <c r="D132" s="170">
        <f>14850+25000+1000</f>
        <v>40850</v>
      </c>
      <c r="E132" s="170">
        <f>14850+25000+1000</f>
        <v>40850</v>
      </c>
      <c r="F132" s="170">
        <f>26000+14850</f>
        <v>40850</v>
      </c>
      <c r="G132" s="170">
        <v>0</v>
      </c>
      <c r="H132" s="170">
        <v>0</v>
      </c>
      <c r="I132" s="170">
        <f>26000+14850</f>
        <v>40850</v>
      </c>
      <c r="J132" s="170">
        <f>D132-I132</f>
        <v>0</v>
      </c>
      <c r="K132" s="170">
        <f>E132-I132</f>
        <v>0</v>
      </c>
    </row>
    <row r="133" spans="1:11" ht="25.5">
      <c r="A133" s="73" t="s">
        <v>27</v>
      </c>
      <c r="B133" s="27"/>
      <c r="C133" s="153" t="s">
        <v>201</v>
      </c>
      <c r="D133" s="170">
        <f>12709-2734-5974+2728.19</f>
        <v>6729.1900000000005</v>
      </c>
      <c r="E133" s="170">
        <v>6729.19</v>
      </c>
      <c r="F133" s="170">
        <v>6729.19</v>
      </c>
      <c r="G133" s="170">
        <v>0</v>
      </c>
      <c r="H133" s="170">
        <v>0</v>
      </c>
      <c r="I133" s="170">
        <v>6729.19</v>
      </c>
      <c r="J133" s="170">
        <f t="shared" si="75"/>
        <v>0</v>
      </c>
      <c r="K133" s="170">
        <f t="shared" si="76"/>
        <v>0</v>
      </c>
    </row>
    <row r="134" spans="1:11" s="61" customFormat="1">
      <c r="A134" s="84"/>
      <c r="B134" s="60"/>
      <c r="C134" s="154"/>
      <c r="D134" s="173"/>
      <c r="E134" s="173"/>
      <c r="F134" s="173"/>
      <c r="G134" s="173"/>
      <c r="H134" s="173"/>
      <c r="I134" s="173"/>
      <c r="J134" s="173"/>
      <c r="K134" s="173"/>
    </row>
    <row r="135" spans="1:11" s="61" customFormat="1" ht="38.25">
      <c r="A135" s="47" t="s">
        <v>134</v>
      </c>
      <c r="B135" s="60"/>
      <c r="C135" s="154" t="s">
        <v>164</v>
      </c>
      <c r="D135" s="173">
        <f>D136</f>
        <v>7721</v>
      </c>
      <c r="E135" s="173">
        <f>E136</f>
        <v>7721</v>
      </c>
      <c r="F135" s="173">
        <f t="shared" ref="F135:K135" si="79">F136</f>
        <v>0</v>
      </c>
      <c r="G135" s="173">
        <f t="shared" si="79"/>
        <v>0</v>
      </c>
      <c r="H135" s="173">
        <f t="shared" si="79"/>
        <v>0</v>
      </c>
      <c r="I135" s="173">
        <f t="shared" si="79"/>
        <v>0</v>
      </c>
      <c r="J135" s="173">
        <f t="shared" si="79"/>
        <v>7721</v>
      </c>
      <c r="K135" s="173">
        <f t="shared" si="79"/>
        <v>7721</v>
      </c>
    </row>
    <row r="136" spans="1:11" s="61" customFormat="1">
      <c r="A136" s="47" t="s">
        <v>135</v>
      </c>
      <c r="B136" s="60"/>
      <c r="C136" s="154" t="s">
        <v>120</v>
      </c>
      <c r="D136" s="173">
        <f>D140+D141</f>
        <v>7721</v>
      </c>
      <c r="E136" s="173">
        <f>E140+E141</f>
        <v>7721</v>
      </c>
      <c r="F136" s="173">
        <f t="shared" ref="F136" si="80">F140+F141</f>
        <v>0</v>
      </c>
      <c r="G136" s="173">
        <f t="shared" ref="G136:K136" si="81">G140+G141</f>
        <v>0</v>
      </c>
      <c r="H136" s="173">
        <f t="shared" si="81"/>
        <v>0</v>
      </c>
      <c r="I136" s="173">
        <f t="shared" si="81"/>
        <v>0</v>
      </c>
      <c r="J136" s="173">
        <f t="shared" si="81"/>
        <v>7721</v>
      </c>
      <c r="K136" s="173">
        <f t="shared" si="81"/>
        <v>7721</v>
      </c>
    </row>
    <row r="137" spans="1:11" s="61" customFormat="1" ht="12.75" hidden="1" customHeight="1">
      <c r="A137" s="71" t="s">
        <v>18</v>
      </c>
      <c r="B137" s="60"/>
      <c r="C137" s="153" t="s">
        <v>61</v>
      </c>
      <c r="D137" s="170"/>
      <c r="E137" s="170"/>
      <c r="F137" s="170"/>
      <c r="G137" s="170"/>
      <c r="H137" s="170"/>
      <c r="I137" s="170"/>
      <c r="J137" s="170">
        <f>D137-I137</f>
        <v>0</v>
      </c>
      <c r="K137" s="170">
        <f>E137-I137</f>
        <v>0</v>
      </c>
    </row>
    <row r="138" spans="1:11" s="61" customFormat="1" ht="12.75" hidden="1" customHeight="1">
      <c r="A138" s="71" t="s">
        <v>18</v>
      </c>
      <c r="B138" s="60"/>
      <c r="C138" s="153" t="s">
        <v>62</v>
      </c>
      <c r="D138" s="170"/>
      <c r="E138" s="170"/>
      <c r="F138" s="170"/>
      <c r="G138" s="170"/>
      <c r="H138" s="170"/>
      <c r="I138" s="170"/>
      <c r="J138" s="170">
        <f>D138-I138</f>
        <v>0</v>
      </c>
      <c r="K138" s="170">
        <f>E138-I138</f>
        <v>0</v>
      </c>
    </row>
    <row r="139" spans="1:11" s="92" customFormat="1">
      <c r="A139" s="51"/>
      <c r="B139" s="60"/>
      <c r="C139" s="154"/>
      <c r="D139" s="173"/>
      <c r="E139" s="173"/>
      <c r="F139" s="173"/>
      <c r="G139" s="173"/>
      <c r="H139" s="173"/>
      <c r="I139" s="173"/>
      <c r="J139" s="173"/>
      <c r="K139" s="173"/>
    </row>
    <row r="140" spans="1:11" s="61" customFormat="1">
      <c r="A140" s="93" t="s">
        <v>126</v>
      </c>
      <c r="B140" s="60"/>
      <c r="C140" s="153" t="s">
        <v>246</v>
      </c>
      <c r="D140" s="173">
        <f>1776-1776</f>
        <v>0</v>
      </c>
      <c r="E140" s="173">
        <f>1776-1776</f>
        <v>0</v>
      </c>
      <c r="F140" s="173">
        <v>0</v>
      </c>
      <c r="G140" s="170">
        <v>0</v>
      </c>
      <c r="H140" s="170">
        <v>0</v>
      </c>
      <c r="I140" s="173">
        <v>0</v>
      </c>
      <c r="J140" s="170">
        <f>D140-I140</f>
        <v>0</v>
      </c>
      <c r="K140" s="170">
        <f>E140-I140</f>
        <v>0</v>
      </c>
    </row>
    <row r="141" spans="1:11" s="61" customFormat="1">
      <c r="A141" s="93" t="s">
        <v>126</v>
      </c>
      <c r="B141" s="60"/>
      <c r="C141" s="153" t="s">
        <v>247</v>
      </c>
      <c r="D141" s="173">
        <f>7241+480</f>
        <v>7721</v>
      </c>
      <c r="E141" s="173">
        <f>7241+480</f>
        <v>7721</v>
      </c>
      <c r="F141" s="173">
        <v>0</v>
      </c>
      <c r="G141" s="170">
        <v>0</v>
      </c>
      <c r="H141" s="170">
        <v>0</v>
      </c>
      <c r="I141" s="173">
        <v>0</v>
      </c>
      <c r="J141" s="170">
        <f>D141-I141</f>
        <v>7721</v>
      </c>
      <c r="K141" s="170">
        <f>E141-I141</f>
        <v>7721</v>
      </c>
    </row>
    <row r="142" spans="1:11" s="61" customFormat="1">
      <c r="A142" s="77"/>
      <c r="B142" s="60"/>
      <c r="C142" s="153"/>
      <c r="D142" s="173"/>
      <c r="E142" s="173"/>
      <c r="F142" s="173"/>
      <c r="G142" s="173"/>
      <c r="H142" s="173"/>
      <c r="I142" s="173"/>
      <c r="J142" s="173"/>
      <c r="K142" s="173"/>
    </row>
    <row r="143" spans="1:11" s="92" customFormat="1" ht="12.75" hidden="1" customHeight="1">
      <c r="A143" s="94" t="s">
        <v>106</v>
      </c>
      <c r="B143" s="95"/>
      <c r="C143" s="157" t="s">
        <v>107</v>
      </c>
      <c r="D143" s="175"/>
      <c r="E143" s="175"/>
      <c r="F143" s="175"/>
      <c r="G143" s="175"/>
      <c r="H143" s="175"/>
      <c r="I143" s="175"/>
      <c r="J143" s="175">
        <f>D143-I143</f>
        <v>0</v>
      </c>
      <c r="K143" s="175">
        <f>E143-I143</f>
        <v>0</v>
      </c>
    </row>
    <row r="144" spans="1:11" s="92" customFormat="1" ht="12.75" hidden="1" customHeight="1">
      <c r="A144" s="94" t="s">
        <v>106</v>
      </c>
      <c r="B144" s="95"/>
      <c r="C144" s="157" t="s">
        <v>111</v>
      </c>
      <c r="D144" s="175"/>
      <c r="E144" s="175"/>
      <c r="F144" s="175"/>
      <c r="G144" s="175"/>
      <c r="H144" s="175"/>
      <c r="I144" s="175"/>
      <c r="J144" s="175">
        <f>D144-I144</f>
        <v>0</v>
      </c>
      <c r="K144" s="175">
        <f>E144-I144</f>
        <v>0</v>
      </c>
    </row>
    <row r="145" spans="1:11" s="92" customFormat="1" ht="12.75" hidden="1" customHeight="1">
      <c r="A145" s="94" t="s">
        <v>106</v>
      </c>
      <c r="B145" s="95"/>
      <c r="C145" s="157" t="s">
        <v>112</v>
      </c>
      <c r="D145" s="175"/>
      <c r="E145" s="175"/>
      <c r="F145" s="175"/>
      <c r="G145" s="175"/>
      <c r="H145" s="175"/>
      <c r="I145" s="175"/>
      <c r="J145" s="175">
        <f>D145-I145</f>
        <v>0</v>
      </c>
      <c r="K145" s="175">
        <f>E145-I145</f>
        <v>0</v>
      </c>
    </row>
    <row r="146" spans="1:11" s="92" customFormat="1" ht="13.5" hidden="1" customHeight="1">
      <c r="A146" s="94"/>
      <c r="B146" s="95"/>
      <c r="C146" s="157"/>
      <c r="D146" s="176">
        <f>SUM(D144:D145)</f>
        <v>0</v>
      </c>
      <c r="E146" s="176">
        <f>SUM(E144:E145)</f>
        <v>0</v>
      </c>
      <c r="F146" s="176">
        <f t="shared" ref="F146" si="82">SUM(F144:F145)</f>
        <v>0</v>
      </c>
      <c r="G146" s="176">
        <f t="shared" ref="G146:K146" si="83">SUM(G144:G145)</f>
        <v>0</v>
      </c>
      <c r="H146" s="176">
        <f t="shared" si="83"/>
        <v>0</v>
      </c>
      <c r="I146" s="176">
        <f t="shared" si="83"/>
        <v>0</v>
      </c>
      <c r="J146" s="176">
        <f t="shared" si="83"/>
        <v>0</v>
      </c>
      <c r="K146" s="176">
        <f t="shared" si="83"/>
        <v>0</v>
      </c>
    </row>
    <row r="147" spans="1:11" s="92" customFormat="1" ht="12.75" hidden="1" customHeight="1">
      <c r="A147" s="96" t="s">
        <v>113</v>
      </c>
      <c r="B147" s="95"/>
      <c r="C147" s="157"/>
      <c r="D147" s="177">
        <f>SUM(D143:D145)</f>
        <v>0</v>
      </c>
      <c r="E147" s="177">
        <f>SUM(E143:E145)</f>
        <v>0</v>
      </c>
      <c r="F147" s="177">
        <f t="shared" ref="F147" si="84">SUM(F143:F145)</f>
        <v>0</v>
      </c>
      <c r="G147" s="177">
        <f t="shared" ref="G147:K147" si="85">SUM(G143:G145)</f>
        <v>0</v>
      </c>
      <c r="H147" s="177">
        <f t="shared" si="85"/>
        <v>0</v>
      </c>
      <c r="I147" s="177">
        <f t="shared" si="85"/>
        <v>0</v>
      </c>
      <c r="J147" s="177">
        <f t="shared" si="85"/>
        <v>0</v>
      </c>
      <c r="K147" s="177">
        <f t="shared" si="85"/>
        <v>0</v>
      </c>
    </row>
    <row r="148" spans="1:11" s="92" customFormat="1">
      <c r="A148" s="47" t="s">
        <v>137</v>
      </c>
      <c r="B148" s="95"/>
      <c r="C148" s="154" t="s">
        <v>165</v>
      </c>
      <c r="D148" s="173">
        <f>D149</f>
        <v>473883</v>
      </c>
      <c r="E148" s="173">
        <f t="shared" ref="E148:K148" si="86">E149</f>
        <v>473883</v>
      </c>
      <c r="F148" s="173">
        <f t="shared" si="86"/>
        <v>473883</v>
      </c>
      <c r="G148" s="173">
        <f t="shared" si="86"/>
        <v>0</v>
      </c>
      <c r="H148" s="173">
        <f t="shared" si="86"/>
        <v>0</v>
      </c>
      <c r="I148" s="173">
        <f t="shared" si="86"/>
        <v>473883</v>
      </c>
      <c r="J148" s="173">
        <f t="shared" si="86"/>
        <v>0</v>
      </c>
      <c r="K148" s="173">
        <f t="shared" si="86"/>
        <v>0</v>
      </c>
    </row>
    <row r="149" spans="1:11" s="92" customFormat="1">
      <c r="A149" s="47" t="s">
        <v>138</v>
      </c>
      <c r="B149" s="95"/>
      <c r="C149" s="154" t="s">
        <v>133</v>
      </c>
      <c r="D149" s="173">
        <f>D151+D154+D155+D156+D153+D152+D157</f>
        <v>473883</v>
      </c>
      <c r="E149" s="173">
        <f t="shared" ref="E149:I149" si="87">E151+E154+E155+E156+E153+E152+E157</f>
        <v>473883</v>
      </c>
      <c r="F149" s="173">
        <f t="shared" ref="F149" si="88">F151+F154+F155+F156+F153+F152+F157</f>
        <v>473883</v>
      </c>
      <c r="G149" s="173">
        <f t="shared" si="87"/>
        <v>0</v>
      </c>
      <c r="H149" s="173">
        <f t="shared" si="87"/>
        <v>0</v>
      </c>
      <c r="I149" s="173">
        <f t="shared" si="87"/>
        <v>473883</v>
      </c>
      <c r="J149" s="173">
        <f t="shared" ref="J149:K149" si="89">J151+J154+J155+J156+J153+J152</f>
        <v>0</v>
      </c>
      <c r="K149" s="173">
        <f t="shared" si="89"/>
        <v>0</v>
      </c>
    </row>
    <row r="150" spans="1:11" s="92" customFormat="1">
      <c r="A150" s="51" t="s">
        <v>136</v>
      </c>
      <c r="B150" s="95"/>
      <c r="C150" s="157"/>
      <c r="D150" s="177"/>
      <c r="E150" s="177"/>
      <c r="F150" s="177"/>
      <c r="G150" s="177"/>
      <c r="H150" s="177"/>
      <c r="I150" s="177"/>
      <c r="J150" s="177"/>
      <c r="K150" s="177"/>
    </row>
    <row r="151" spans="1:11" s="61" customFormat="1" ht="17.25" customHeight="1">
      <c r="A151" s="71" t="s">
        <v>15</v>
      </c>
      <c r="B151" s="60"/>
      <c r="C151" s="153" t="s">
        <v>253</v>
      </c>
      <c r="D151" s="170">
        <f>72400-19-1493.56-23474+6707</f>
        <v>54120.44</v>
      </c>
      <c r="E151" s="170">
        <f>72400-19-1493.56-23474+6707</f>
        <v>54120.44</v>
      </c>
      <c r="F151" s="170">
        <f>36799.84+17320.6</f>
        <v>54120.439999999995</v>
      </c>
      <c r="G151" s="170">
        <v>0</v>
      </c>
      <c r="H151" s="170">
        <v>0</v>
      </c>
      <c r="I151" s="170">
        <f>36799.84+17320.6</f>
        <v>54120.439999999995</v>
      </c>
      <c r="J151" s="170">
        <f t="shared" ref="J151:J156" si="90">D151-I151</f>
        <v>0</v>
      </c>
      <c r="K151" s="170">
        <f t="shared" ref="K151:K156" si="91">E151-I151</f>
        <v>0</v>
      </c>
    </row>
    <row r="152" spans="1:11" s="61" customFormat="1" ht="17.25" customHeight="1">
      <c r="A152" s="71" t="s">
        <v>16</v>
      </c>
      <c r="B152" s="60"/>
      <c r="C152" s="153" t="s">
        <v>436</v>
      </c>
      <c r="D152" s="170">
        <f>1493.56+23474</f>
        <v>24967.56</v>
      </c>
      <c r="E152" s="170">
        <f>1493.56+23474</f>
        <v>24967.56</v>
      </c>
      <c r="F152" s="170">
        <v>24967.56</v>
      </c>
      <c r="G152" s="170">
        <v>0</v>
      </c>
      <c r="H152" s="170">
        <v>0</v>
      </c>
      <c r="I152" s="170">
        <v>24967.56</v>
      </c>
      <c r="J152" s="170">
        <f t="shared" si="90"/>
        <v>0</v>
      </c>
      <c r="K152" s="170">
        <f t="shared" si="91"/>
        <v>0</v>
      </c>
    </row>
    <row r="153" spans="1:11" s="61" customFormat="1" ht="17.25" customHeight="1">
      <c r="A153" s="71" t="s">
        <v>15</v>
      </c>
      <c r="B153" s="60"/>
      <c r="C153" s="153" t="s">
        <v>257</v>
      </c>
      <c r="D153" s="170">
        <f>19+376-46.04</f>
        <v>348.96</v>
      </c>
      <c r="E153" s="170">
        <f>19+376-46.04</f>
        <v>348.96</v>
      </c>
      <c r="F153" s="170">
        <v>348.96</v>
      </c>
      <c r="G153" s="170">
        <v>0</v>
      </c>
      <c r="H153" s="170">
        <v>0</v>
      </c>
      <c r="I153" s="170">
        <v>348.96</v>
      </c>
      <c r="J153" s="170">
        <f t="shared" si="90"/>
        <v>0</v>
      </c>
      <c r="K153" s="170">
        <f t="shared" si="91"/>
        <v>0</v>
      </c>
    </row>
    <row r="154" spans="1:11" s="61" customFormat="1" ht="17.25" customHeight="1">
      <c r="A154" s="71" t="s">
        <v>16</v>
      </c>
      <c r="B154" s="60"/>
      <c r="C154" s="153" t="s">
        <v>412</v>
      </c>
      <c r="D154" s="170">
        <v>46.04</v>
      </c>
      <c r="E154" s="170">
        <v>46.04</v>
      </c>
      <c r="F154" s="170">
        <v>46.04</v>
      </c>
      <c r="G154" s="170">
        <v>0</v>
      </c>
      <c r="H154" s="170">
        <v>0</v>
      </c>
      <c r="I154" s="170">
        <v>46.04</v>
      </c>
      <c r="J154" s="170">
        <f t="shared" si="90"/>
        <v>0</v>
      </c>
      <c r="K154" s="170">
        <f t="shared" si="91"/>
        <v>0</v>
      </c>
    </row>
    <row r="155" spans="1:11" s="61" customFormat="1" ht="17.25" customHeight="1">
      <c r="A155" s="71" t="s">
        <v>15</v>
      </c>
      <c r="B155" s="60"/>
      <c r="C155" s="153" t="s">
        <v>202</v>
      </c>
      <c r="D155" s="170">
        <f>394400-98000-53978.32-31825</f>
        <v>210596.68</v>
      </c>
      <c r="E155" s="170">
        <f>394400-98000-53978.32-31825</f>
        <v>210596.68</v>
      </c>
      <c r="F155" s="170">
        <f>675+209921.68</f>
        <v>210596.68</v>
      </c>
      <c r="G155" s="170">
        <v>0</v>
      </c>
      <c r="H155" s="170">
        <v>0</v>
      </c>
      <c r="I155" s="170">
        <f>675+209921.68</f>
        <v>210596.68</v>
      </c>
      <c r="J155" s="170">
        <f t="shared" si="90"/>
        <v>0</v>
      </c>
      <c r="K155" s="170">
        <f t="shared" si="91"/>
        <v>0</v>
      </c>
    </row>
    <row r="156" spans="1:11" s="61" customFormat="1" ht="17.25" customHeight="1">
      <c r="A156" s="71" t="s">
        <v>16</v>
      </c>
      <c r="B156" s="60"/>
      <c r="C156" s="153" t="s">
        <v>254</v>
      </c>
      <c r="D156" s="170">
        <f>53978.32+98000</f>
        <v>151978.32</v>
      </c>
      <c r="E156" s="170">
        <f>53978.32+98000</f>
        <v>151978.32</v>
      </c>
      <c r="F156" s="170">
        <v>151978.32</v>
      </c>
      <c r="G156" s="170">
        <v>0</v>
      </c>
      <c r="H156" s="170">
        <v>0</v>
      </c>
      <c r="I156" s="170">
        <v>151978.32</v>
      </c>
      <c r="J156" s="170">
        <f t="shared" si="90"/>
        <v>0</v>
      </c>
      <c r="K156" s="170">
        <f t="shared" si="91"/>
        <v>0</v>
      </c>
    </row>
    <row r="157" spans="1:11" s="61" customFormat="1" ht="17.25" customHeight="1">
      <c r="A157" s="71" t="s">
        <v>16</v>
      </c>
      <c r="B157" s="60"/>
      <c r="C157" s="153" t="s">
        <v>473</v>
      </c>
      <c r="D157" s="170">
        <v>31825</v>
      </c>
      <c r="E157" s="170">
        <v>31825</v>
      </c>
      <c r="F157" s="170">
        <v>31825</v>
      </c>
      <c r="G157" s="170">
        <v>0</v>
      </c>
      <c r="H157" s="170">
        <v>0</v>
      </c>
      <c r="I157" s="170">
        <v>31825</v>
      </c>
      <c r="J157" s="170">
        <f t="shared" ref="J157" si="92">D157-I157</f>
        <v>0</v>
      </c>
      <c r="K157" s="170">
        <f t="shared" ref="K157" si="93">E157-I157</f>
        <v>0</v>
      </c>
    </row>
    <row r="158" spans="1:11" s="61" customFormat="1" ht="17.25" customHeight="1">
      <c r="A158" s="71"/>
      <c r="B158" s="60"/>
      <c r="C158" s="153"/>
      <c r="D158" s="170"/>
      <c r="E158" s="170"/>
      <c r="F158" s="170"/>
      <c r="G158" s="170"/>
      <c r="H158" s="170"/>
      <c r="I158" s="170"/>
      <c r="J158" s="170"/>
      <c r="K158" s="170"/>
    </row>
    <row r="159" spans="1:11" s="61" customFormat="1" ht="17.25" customHeight="1">
      <c r="A159" s="77" t="s">
        <v>139</v>
      </c>
      <c r="B159" s="60"/>
      <c r="C159" s="154" t="s">
        <v>149</v>
      </c>
      <c r="D159" s="173">
        <f>D165+D177+D160</f>
        <v>476200.33</v>
      </c>
      <c r="E159" s="173">
        <f>E165+E177+E160</f>
        <v>476200.33</v>
      </c>
      <c r="F159" s="173">
        <f t="shared" ref="F159" si="94">F165+F177+F160</f>
        <v>457378.66000000003</v>
      </c>
      <c r="G159" s="173">
        <f t="shared" ref="G159:I159" si="95">G165+G177+G160</f>
        <v>0</v>
      </c>
      <c r="H159" s="173">
        <f t="shared" si="95"/>
        <v>0</v>
      </c>
      <c r="I159" s="173">
        <f t="shared" si="95"/>
        <v>457378.66000000003</v>
      </c>
      <c r="J159" s="173">
        <f t="shared" ref="J159" si="96">J165+J177+J160</f>
        <v>18821.669999999984</v>
      </c>
      <c r="K159" s="173">
        <f t="shared" ref="K159" si="97">K165+K177+K160</f>
        <v>18821.669999999984</v>
      </c>
    </row>
    <row r="160" spans="1:11" s="61" customFormat="1" ht="17.25" customHeight="1">
      <c r="A160" s="77" t="s">
        <v>453</v>
      </c>
      <c r="B160" s="60"/>
      <c r="C160" s="154" t="s">
        <v>454</v>
      </c>
      <c r="D160" s="173">
        <f t="shared" ref="D160:I162" si="98">D161</f>
        <v>9000</v>
      </c>
      <c r="E160" s="173">
        <f t="shared" si="98"/>
        <v>9000</v>
      </c>
      <c r="F160" s="173">
        <f t="shared" si="98"/>
        <v>9000</v>
      </c>
      <c r="G160" s="173">
        <f t="shared" si="98"/>
        <v>0</v>
      </c>
      <c r="H160" s="173">
        <f t="shared" si="98"/>
        <v>0</v>
      </c>
      <c r="I160" s="173">
        <f t="shared" si="98"/>
        <v>9000</v>
      </c>
      <c r="J160" s="170">
        <f t="shared" ref="J160:J163" si="99">D160-I160</f>
        <v>0</v>
      </c>
      <c r="K160" s="170">
        <f t="shared" ref="K160:K163" si="100">E160-I160</f>
        <v>0</v>
      </c>
    </row>
    <row r="161" spans="1:11" s="61" customFormat="1" ht="17.25" customHeight="1">
      <c r="A161" s="77" t="s">
        <v>455</v>
      </c>
      <c r="B161" s="60"/>
      <c r="C161" s="154" t="s">
        <v>456</v>
      </c>
      <c r="D161" s="173">
        <f t="shared" si="98"/>
        <v>9000</v>
      </c>
      <c r="E161" s="173">
        <f t="shared" si="98"/>
        <v>9000</v>
      </c>
      <c r="F161" s="173">
        <f t="shared" si="98"/>
        <v>9000</v>
      </c>
      <c r="G161" s="173">
        <f t="shared" si="98"/>
        <v>0</v>
      </c>
      <c r="H161" s="173">
        <f t="shared" si="98"/>
        <v>0</v>
      </c>
      <c r="I161" s="173">
        <f t="shared" si="98"/>
        <v>9000</v>
      </c>
      <c r="J161" s="170">
        <f t="shared" si="99"/>
        <v>0</v>
      </c>
      <c r="K161" s="170">
        <f t="shared" si="100"/>
        <v>0</v>
      </c>
    </row>
    <row r="162" spans="1:11" s="61" customFormat="1" ht="17.25" customHeight="1">
      <c r="A162" s="77" t="s">
        <v>457</v>
      </c>
      <c r="B162" s="60"/>
      <c r="C162" s="154" t="s">
        <v>458</v>
      </c>
      <c r="D162" s="173">
        <f t="shared" si="98"/>
        <v>9000</v>
      </c>
      <c r="E162" s="173">
        <f t="shared" si="98"/>
        <v>9000</v>
      </c>
      <c r="F162" s="173">
        <f t="shared" si="98"/>
        <v>9000</v>
      </c>
      <c r="G162" s="173">
        <f t="shared" si="98"/>
        <v>0</v>
      </c>
      <c r="H162" s="173">
        <f t="shared" si="98"/>
        <v>0</v>
      </c>
      <c r="I162" s="173">
        <f t="shared" si="98"/>
        <v>9000</v>
      </c>
      <c r="J162" s="170">
        <f t="shared" si="99"/>
        <v>0</v>
      </c>
      <c r="K162" s="170">
        <f t="shared" si="100"/>
        <v>0</v>
      </c>
    </row>
    <row r="163" spans="1:11" s="61" customFormat="1" ht="24.75" customHeight="1">
      <c r="A163" s="93" t="s">
        <v>459</v>
      </c>
      <c r="B163" s="60"/>
      <c r="C163" s="153" t="s">
        <v>470</v>
      </c>
      <c r="D163" s="170">
        <v>9000</v>
      </c>
      <c r="E163" s="170">
        <v>9000</v>
      </c>
      <c r="F163" s="170">
        <v>9000</v>
      </c>
      <c r="G163" s="170">
        <v>0</v>
      </c>
      <c r="H163" s="170">
        <v>0</v>
      </c>
      <c r="I163" s="170">
        <v>9000</v>
      </c>
      <c r="J163" s="170">
        <f t="shared" si="99"/>
        <v>0</v>
      </c>
      <c r="K163" s="170">
        <f t="shared" si="100"/>
        <v>0</v>
      </c>
    </row>
    <row r="164" spans="1:11" s="61" customFormat="1" ht="15" customHeight="1">
      <c r="A164" s="93"/>
      <c r="B164" s="60"/>
      <c r="C164" s="154"/>
      <c r="D164" s="173"/>
      <c r="E164" s="173"/>
      <c r="F164" s="173"/>
      <c r="G164" s="173"/>
      <c r="H164" s="173"/>
      <c r="I164" s="173"/>
      <c r="J164" s="173"/>
      <c r="K164" s="173"/>
    </row>
    <row r="165" spans="1:11" s="61" customFormat="1" ht="17.25" customHeight="1">
      <c r="A165" s="77" t="s">
        <v>140</v>
      </c>
      <c r="B165" s="60"/>
      <c r="C165" s="154" t="s">
        <v>281</v>
      </c>
      <c r="D165" s="173">
        <f>D166+D174+D175</f>
        <v>464279.06</v>
      </c>
      <c r="E165" s="173">
        <f t="shared" ref="E165:K165" si="101">E166+E174+E175</f>
        <v>464279.06</v>
      </c>
      <c r="F165" s="173">
        <f t="shared" ref="F165" si="102">F166+F174+F175</f>
        <v>445457.39</v>
      </c>
      <c r="G165" s="173">
        <f t="shared" si="101"/>
        <v>0</v>
      </c>
      <c r="H165" s="173">
        <f t="shared" si="101"/>
        <v>0</v>
      </c>
      <c r="I165" s="173">
        <f t="shared" si="101"/>
        <v>445457.39</v>
      </c>
      <c r="J165" s="173">
        <f t="shared" si="101"/>
        <v>18821.669999999984</v>
      </c>
      <c r="K165" s="173">
        <f t="shared" si="101"/>
        <v>18821.669999999984</v>
      </c>
    </row>
    <row r="166" spans="1:11" s="61" customFormat="1" ht="17.25" customHeight="1">
      <c r="A166" s="77" t="s">
        <v>140</v>
      </c>
      <c r="B166" s="60"/>
      <c r="C166" s="154" t="s">
        <v>148</v>
      </c>
      <c r="D166" s="173">
        <f>D167</f>
        <v>464279.06</v>
      </c>
      <c r="E166" s="173">
        <f t="shared" ref="E166:K166" si="103">E167</f>
        <v>464279.06</v>
      </c>
      <c r="F166" s="173">
        <f t="shared" si="103"/>
        <v>445457.39</v>
      </c>
      <c r="G166" s="173">
        <f t="shared" si="103"/>
        <v>0</v>
      </c>
      <c r="H166" s="173">
        <f t="shared" si="103"/>
        <v>0</v>
      </c>
      <c r="I166" s="173">
        <f t="shared" si="103"/>
        <v>445457.39</v>
      </c>
      <c r="J166" s="173">
        <f t="shared" si="103"/>
        <v>18821.669999999984</v>
      </c>
      <c r="K166" s="173">
        <f t="shared" si="103"/>
        <v>18821.669999999984</v>
      </c>
    </row>
    <row r="167" spans="1:11" s="92" customFormat="1">
      <c r="A167" s="93" t="s">
        <v>136</v>
      </c>
      <c r="B167" s="95"/>
      <c r="C167" s="153" t="s">
        <v>147</v>
      </c>
      <c r="D167" s="173">
        <f>D168+D169+D172+D171</f>
        <v>464279.06</v>
      </c>
      <c r="E167" s="173">
        <f t="shared" ref="E167:K167" si="104">E168+E169+E172+E171</f>
        <v>464279.06</v>
      </c>
      <c r="F167" s="173">
        <f t="shared" ref="F167" si="105">F168+F169+F172+F171</f>
        <v>445457.39</v>
      </c>
      <c r="G167" s="173">
        <f t="shared" si="104"/>
        <v>0</v>
      </c>
      <c r="H167" s="173">
        <f t="shared" si="104"/>
        <v>0</v>
      </c>
      <c r="I167" s="173">
        <f t="shared" si="104"/>
        <v>445457.39</v>
      </c>
      <c r="J167" s="173">
        <f t="shared" si="104"/>
        <v>18821.669999999984</v>
      </c>
      <c r="K167" s="173">
        <f t="shared" si="104"/>
        <v>18821.669999999984</v>
      </c>
    </row>
    <row r="168" spans="1:11">
      <c r="A168" s="71" t="s">
        <v>14</v>
      </c>
      <c r="B168" s="27"/>
      <c r="C168" s="153" t="s">
        <v>203</v>
      </c>
      <c r="D168" s="170">
        <f>293475+50000+10000+500+50000+17548.67</f>
        <v>421523.67</v>
      </c>
      <c r="E168" s="170">
        <f>293475+50000+10000+500+50000+17548.67</f>
        <v>421523.67</v>
      </c>
      <c r="F168" s="170">
        <v>403975</v>
      </c>
      <c r="G168" s="170">
        <v>0</v>
      </c>
      <c r="H168" s="170">
        <v>0</v>
      </c>
      <c r="I168" s="170">
        <v>403975</v>
      </c>
      <c r="J168" s="170">
        <f>D168-I168</f>
        <v>17548.669999999984</v>
      </c>
      <c r="K168" s="170">
        <f>E168-I168</f>
        <v>17548.669999999984</v>
      </c>
    </row>
    <row r="169" spans="1:11">
      <c r="A169" s="93" t="s">
        <v>126</v>
      </c>
      <c r="B169" s="27"/>
      <c r="C169" s="153" t="s">
        <v>248</v>
      </c>
      <c r="D169" s="170">
        <f>50621-9138.61</f>
        <v>41482.39</v>
      </c>
      <c r="E169" s="170">
        <f>50621-9138.61</f>
        <v>41482.39</v>
      </c>
      <c r="F169" s="170">
        <v>41482.39</v>
      </c>
      <c r="G169" s="170">
        <v>0</v>
      </c>
      <c r="H169" s="170">
        <v>0</v>
      </c>
      <c r="I169" s="170">
        <v>41482.39</v>
      </c>
      <c r="J169" s="170">
        <f>D169-I169</f>
        <v>0</v>
      </c>
      <c r="K169" s="170">
        <f>E169-I169</f>
        <v>0</v>
      </c>
    </row>
    <row r="170" spans="1:11" ht="12.75" hidden="1" customHeight="1">
      <c r="A170" s="71" t="s">
        <v>15</v>
      </c>
      <c r="B170" s="27"/>
      <c r="C170" s="153" t="s">
        <v>86</v>
      </c>
      <c r="D170" s="170"/>
      <c r="E170" s="170"/>
      <c r="F170" s="170"/>
      <c r="G170" s="170">
        <v>0</v>
      </c>
      <c r="H170" s="170">
        <v>0</v>
      </c>
      <c r="I170" s="170"/>
      <c r="J170" s="170">
        <f>D170-I170</f>
        <v>0</v>
      </c>
      <c r="K170" s="170">
        <f>E170-I170</f>
        <v>0</v>
      </c>
    </row>
    <row r="171" spans="1:11" ht="25.5">
      <c r="A171" s="93" t="s">
        <v>27</v>
      </c>
      <c r="B171" s="27"/>
      <c r="C171" s="153" t="s">
        <v>275</v>
      </c>
      <c r="D171" s="170">
        <v>1273</v>
      </c>
      <c r="E171" s="170">
        <v>1273</v>
      </c>
      <c r="F171" s="170">
        <v>0</v>
      </c>
      <c r="G171" s="170">
        <v>0</v>
      </c>
      <c r="H171" s="170">
        <v>0</v>
      </c>
      <c r="I171" s="170">
        <v>0</v>
      </c>
      <c r="J171" s="170">
        <f>D171-I171</f>
        <v>1273</v>
      </c>
      <c r="K171" s="170">
        <f>E171-I171</f>
        <v>1273</v>
      </c>
    </row>
    <row r="172" spans="1:11">
      <c r="A172" s="71" t="s">
        <v>16</v>
      </c>
      <c r="B172" s="27"/>
      <c r="C172" s="153" t="s">
        <v>249</v>
      </c>
      <c r="D172" s="170">
        <f>500-500</f>
        <v>0</v>
      </c>
      <c r="E172" s="170">
        <f>500-500</f>
        <v>0</v>
      </c>
      <c r="F172" s="170">
        <v>0</v>
      </c>
      <c r="G172" s="170">
        <v>0</v>
      </c>
      <c r="H172" s="170">
        <v>0</v>
      </c>
      <c r="I172" s="170">
        <v>0</v>
      </c>
      <c r="J172" s="170">
        <f>D172-I172</f>
        <v>0</v>
      </c>
      <c r="K172" s="170">
        <f>E172-I172</f>
        <v>0</v>
      </c>
    </row>
    <row r="173" spans="1:11">
      <c r="A173" s="71"/>
      <c r="B173" s="27"/>
      <c r="C173" s="153"/>
      <c r="D173" s="170"/>
      <c r="E173" s="170"/>
      <c r="F173" s="170"/>
      <c r="G173" s="170"/>
      <c r="H173" s="170"/>
      <c r="I173" s="170"/>
      <c r="J173" s="170"/>
      <c r="K173" s="170"/>
    </row>
    <row r="174" spans="1:11">
      <c r="A174" s="71" t="s">
        <v>16</v>
      </c>
      <c r="B174" s="27"/>
      <c r="C174" s="153" t="s">
        <v>271</v>
      </c>
      <c r="D174" s="170">
        <v>0</v>
      </c>
      <c r="E174" s="170">
        <v>0</v>
      </c>
      <c r="F174" s="170">
        <v>0</v>
      </c>
      <c r="G174" s="170">
        <v>0</v>
      </c>
      <c r="H174" s="170">
        <v>0</v>
      </c>
      <c r="I174" s="170">
        <v>0</v>
      </c>
      <c r="J174" s="170">
        <f>D174-I174</f>
        <v>0</v>
      </c>
      <c r="K174" s="170">
        <f>E174-I174</f>
        <v>0</v>
      </c>
    </row>
    <row r="175" spans="1:11">
      <c r="A175" s="71" t="s">
        <v>16</v>
      </c>
      <c r="B175" s="27"/>
      <c r="C175" s="153" t="s">
        <v>272</v>
      </c>
      <c r="D175" s="170">
        <v>0</v>
      </c>
      <c r="E175" s="170">
        <v>0</v>
      </c>
      <c r="F175" s="170">
        <v>0</v>
      </c>
      <c r="G175" s="170">
        <v>0</v>
      </c>
      <c r="H175" s="170">
        <v>0</v>
      </c>
      <c r="I175" s="170">
        <v>0</v>
      </c>
      <c r="J175" s="170">
        <f>D175-I175</f>
        <v>0</v>
      </c>
      <c r="K175" s="170">
        <f>E175-I175</f>
        <v>0</v>
      </c>
    </row>
    <row r="176" spans="1:11" ht="25.5">
      <c r="A176" s="86" t="s">
        <v>424</v>
      </c>
      <c r="B176" s="27"/>
      <c r="C176" s="154" t="s">
        <v>423</v>
      </c>
      <c r="D176" s="173">
        <f>D177</f>
        <v>2921.27</v>
      </c>
      <c r="E176" s="173">
        <f t="shared" ref="E176:K176" si="106">E177</f>
        <v>2921.27</v>
      </c>
      <c r="F176" s="173">
        <f t="shared" si="106"/>
        <v>2921.27</v>
      </c>
      <c r="G176" s="173">
        <f t="shared" si="106"/>
        <v>0</v>
      </c>
      <c r="H176" s="173">
        <f t="shared" si="106"/>
        <v>0</v>
      </c>
      <c r="I176" s="173">
        <f t="shared" si="106"/>
        <v>2921.27</v>
      </c>
      <c r="J176" s="173">
        <f t="shared" si="106"/>
        <v>0</v>
      </c>
      <c r="K176" s="173">
        <f t="shared" si="106"/>
        <v>0</v>
      </c>
    </row>
    <row r="177" spans="1:11">
      <c r="A177" s="71" t="s">
        <v>15</v>
      </c>
      <c r="B177" s="27"/>
      <c r="C177" s="153" t="s">
        <v>437</v>
      </c>
      <c r="D177" s="170">
        <v>2921.27</v>
      </c>
      <c r="E177" s="170">
        <v>2921.27</v>
      </c>
      <c r="F177" s="170">
        <v>2921.27</v>
      </c>
      <c r="G177" s="170">
        <v>0</v>
      </c>
      <c r="H177" s="170">
        <v>0</v>
      </c>
      <c r="I177" s="170">
        <v>2921.27</v>
      </c>
      <c r="J177" s="170">
        <f>D177-I177</f>
        <v>0</v>
      </c>
      <c r="K177" s="170">
        <f>E177-I177</f>
        <v>0</v>
      </c>
    </row>
    <row r="178" spans="1:11" s="61" customFormat="1">
      <c r="A178" s="84"/>
      <c r="B178" s="60"/>
      <c r="C178" s="154"/>
      <c r="D178" s="173"/>
      <c r="E178" s="173"/>
      <c r="F178" s="173"/>
      <c r="G178" s="173"/>
      <c r="H178" s="173"/>
      <c r="I178" s="173"/>
      <c r="J178" s="173"/>
      <c r="K178" s="173"/>
    </row>
    <row r="179" spans="1:11" s="61" customFormat="1">
      <c r="A179" s="77" t="s">
        <v>141</v>
      </c>
      <c r="B179" s="60"/>
      <c r="C179" s="154" t="s">
        <v>150</v>
      </c>
      <c r="D179" s="173">
        <f t="shared" ref="D179:K179" si="107">D180+D199</f>
        <v>3147055.75</v>
      </c>
      <c r="E179" s="173">
        <f t="shared" si="107"/>
        <v>3147055.75</v>
      </c>
      <c r="F179" s="173">
        <f t="shared" ref="F179:H179" si="108">F180+F199</f>
        <v>3065969.36</v>
      </c>
      <c r="G179" s="173">
        <v>0</v>
      </c>
      <c r="H179" s="173">
        <v>0</v>
      </c>
      <c r="I179" s="173">
        <f t="shared" si="107"/>
        <v>3065969.36</v>
      </c>
      <c r="J179" s="173">
        <f t="shared" si="107"/>
        <v>81086.389999999985</v>
      </c>
      <c r="K179" s="173">
        <f t="shared" si="107"/>
        <v>81086.389999999985</v>
      </c>
    </row>
    <row r="180" spans="1:11" s="61" customFormat="1" ht="25.5">
      <c r="A180" s="77" t="s">
        <v>142</v>
      </c>
      <c r="B180" s="60"/>
      <c r="C180" s="154" t="s">
        <v>151</v>
      </c>
      <c r="D180" s="173">
        <f>D181+D190+D191+D192+D197+D196</f>
        <v>852066.83000000007</v>
      </c>
      <c r="E180" s="173">
        <f>E181+E190+E191+E192+E197+E196</f>
        <v>852066.83000000007</v>
      </c>
      <c r="F180" s="173">
        <f t="shared" ref="F180" si="109">F181+F190+F191+F192+F197+F196</f>
        <v>811708.02</v>
      </c>
      <c r="G180" s="173">
        <f t="shared" ref="G180:K180" si="110">G181+G190+G191+G192+G197+G196</f>
        <v>0</v>
      </c>
      <c r="H180" s="173">
        <f t="shared" si="110"/>
        <v>0</v>
      </c>
      <c r="I180" s="173">
        <f t="shared" si="110"/>
        <v>811708.02</v>
      </c>
      <c r="J180" s="173">
        <f t="shared" si="110"/>
        <v>40358.809999999954</v>
      </c>
      <c r="K180" s="173">
        <f t="shared" si="110"/>
        <v>40358.809999999954</v>
      </c>
    </row>
    <row r="181" spans="1:11" s="61" customFormat="1" ht="25.5">
      <c r="A181" s="93" t="s">
        <v>144</v>
      </c>
      <c r="B181" s="60"/>
      <c r="C181" s="153" t="s">
        <v>152</v>
      </c>
      <c r="D181" s="173">
        <f>D182+D185+D188</f>
        <v>773215.83000000007</v>
      </c>
      <c r="E181" s="173">
        <f>E182+E185+E188</f>
        <v>773215.83000000007</v>
      </c>
      <c r="F181" s="173">
        <f t="shared" ref="F181" si="111">F182+F185+F188</f>
        <v>743520.62</v>
      </c>
      <c r="G181" s="173">
        <f t="shared" ref="G181:K181" si="112">G182+G185+G188</f>
        <v>0</v>
      </c>
      <c r="H181" s="173">
        <f t="shared" si="112"/>
        <v>0</v>
      </c>
      <c r="I181" s="173">
        <f t="shared" si="112"/>
        <v>743520.62</v>
      </c>
      <c r="J181" s="173">
        <f t="shared" si="112"/>
        <v>29695.209999999955</v>
      </c>
      <c r="K181" s="173">
        <f t="shared" si="112"/>
        <v>29695.209999999955</v>
      </c>
    </row>
    <row r="182" spans="1:11">
      <c r="A182" s="71" t="s">
        <v>22</v>
      </c>
      <c r="B182" s="27"/>
      <c r="C182" s="153" t="s">
        <v>205</v>
      </c>
      <c r="D182" s="170">
        <f>622582-47460+5000+4500</f>
        <v>584622</v>
      </c>
      <c r="E182" s="170">
        <f>622582-47460+5000+4500</f>
        <v>584622</v>
      </c>
      <c r="F182" s="170">
        <f>560321.24+14933.18</f>
        <v>575254.42000000004</v>
      </c>
      <c r="G182" s="170">
        <v>0</v>
      </c>
      <c r="H182" s="170">
        <v>0</v>
      </c>
      <c r="I182" s="170">
        <f>560321.24+14933.18</f>
        <v>575254.42000000004</v>
      </c>
      <c r="J182" s="170">
        <f>D182-I182</f>
        <v>9367.5799999999581</v>
      </c>
      <c r="K182" s="170">
        <f>E182-I182</f>
        <v>9367.5799999999581</v>
      </c>
    </row>
    <row r="183" spans="1:11" ht="38.25">
      <c r="A183" s="71" t="s">
        <v>23</v>
      </c>
      <c r="B183" s="27"/>
      <c r="C183" s="153" t="s">
        <v>204</v>
      </c>
      <c r="D183" s="170">
        <v>0</v>
      </c>
      <c r="E183" s="170">
        <v>0</v>
      </c>
      <c r="F183" s="170">
        <v>-6494.4</v>
      </c>
      <c r="G183" s="170">
        <v>0</v>
      </c>
      <c r="H183" s="170">
        <v>0</v>
      </c>
      <c r="I183" s="170">
        <v>-6494.4</v>
      </c>
      <c r="J183" s="170">
        <f>D183-I183</f>
        <v>6494.4</v>
      </c>
      <c r="K183" s="170">
        <f>E183-I183</f>
        <v>6494.4</v>
      </c>
    </row>
    <row r="184" spans="1:11" ht="38.25">
      <c r="A184" s="71" t="s">
        <v>24</v>
      </c>
      <c r="B184" s="27"/>
      <c r="C184" s="153" t="s">
        <v>206</v>
      </c>
      <c r="D184" s="170">
        <f>14500-5000</f>
        <v>9500</v>
      </c>
      <c r="E184" s="170">
        <f>14500-5000</f>
        <v>9500</v>
      </c>
      <c r="F184" s="170">
        <v>2500</v>
      </c>
      <c r="G184" s="170">
        <v>0</v>
      </c>
      <c r="H184" s="170">
        <v>0</v>
      </c>
      <c r="I184" s="170">
        <v>2500</v>
      </c>
      <c r="J184" s="170">
        <f>D184-I184</f>
        <v>7000</v>
      </c>
      <c r="K184" s="170">
        <f>E184-I184</f>
        <v>7000</v>
      </c>
    </row>
    <row r="185" spans="1:11" s="75" customFormat="1" ht="13.5">
      <c r="A185" s="76" t="s">
        <v>146</v>
      </c>
      <c r="B185" s="74"/>
      <c r="C185" s="156"/>
      <c r="D185" s="172">
        <f t="shared" ref="D185:K185" si="113">SUM(D183:D184)</f>
        <v>9500</v>
      </c>
      <c r="E185" s="172">
        <f>SUM(E183:E184)</f>
        <v>9500</v>
      </c>
      <c r="F185" s="172">
        <f t="shared" ref="F185" si="114">SUM(F183:F184)</f>
        <v>-3994.3999999999996</v>
      </c>
      <c r="G185" s="172">
        <f t="shared" si="113"/>
        <v>0</v>
      </c>
      <c r="H185" s="172">
        <f t="shared" si="113"/>
        <v>0</v>
      </c>
      <c r="I185" s="172">
        <f t="shared" si="113"/>
        <v>-3994.3999999999996</v>
      </c>
      <c r="J185" s="172">
        <f t="shared" si="113"/>
        <v>13494.4</v>
      </c>
      <c r="K185" s="172">
        <f t="shared" si="113"/>
        <v>13494.4</v>
      </c>
    </row>
    <row r="186" spans="1:11" ht="25.5">
      <c r="A186" s="78" t="s">
        <v>101</v>
      </c>
      <c r="B186" s="27"/>
      <c r="C186" s="153" t="s">
        <v>207</v>
      </c>
      <c r="D186" s="170">
        <f>136970-10441</f>
        <v>126529</v>
      </c>
      <c r="E186" s="170">
        <f>136970-10441</f>
        <v>126529</v>
      </c>
      <c r="F186" s="170">
        <f>115853.5+4533.66</f>
        <v>120387.16</v>
      </c>
      <c r="G186" s="170">
        <v>0</v>
      </c>
      <c r="H186" s="170">
        <v>0</v>
      </c>
      <c r="I186" s="170">
        <f>115853.5+4533.66</f>
        <v>120387.16</v>
      </c>
      <c r="J186" s="170">
        <f>D186-I186</f>
        <v>6141.8399999999965</v>
      </c>
      <c r="K186" s="170">
        <f>E186-I186</f>
        <v>6141.8399999999965</v>
      </c>
    </row>
    <row r="187" spans="1:11">
      <c r="A187" s="78" t="s">
        <v>102</v>
      </c>
      <c r="B187" s="27"/>
      <c r="C187" s="153" t="s">
        <v>208</v>
      </c>
      <c r="D187" s="170">
        <f>51049-3892+5407.83</f>
        <v>52564.83</v>
      </c>
      <c r="E187" s="170">
        <f>51049-3892+5407.83</f>
        <v>52564.83</v>
      </c>
      <c r="F187" s="170">
        <f>3093.82+47157+1622.62</f>
        <v>51873.440000000002</v>
      </c>
      <c r="G187" s="170">
        <v>0</v>
      </c>
      <c r="H187" s="170">
        <v>0</v>
      </c>
      <c r="I187" s="170">
        <f>3093.82+47157+1622.62</f>
        <v>51873.440000000002</v>
      </c>
      <c r="J187" s="170">
        <f>D187-I187</f>
        <v>691.38999999999942</v>
      </c>
      <c r="K187" s="170">
        <f>E187-I187</f>
        <v>691.38999999999942</v>
      </c>
    </row>
    <row r="188" spans="1:11" s="75" customFormat="1" ht="13.5">
      <c r="A188" s="93" t="s">
        <v>145</v>
      </c>
      <c r="B188" s="74"/>
      <c r="C188" s="156"/>
      <c r="D188" s="172">
        <f t="shared" ref="D188:K188" si="115">SUM(D186:D187)</f>
        <v>179093.83000000002</v>
      </c>
      <c r="E188" s="172">
        <f>SUM(E186:E187)</f>
        <v>179093.83000000002</v>
      </c>
      <c r="F188" s="172">
        <f t="shared" ref="F188" si="116">SUM(F186:F187)</f>
        <v>172260.6</v>
      </c>
      <c r="G188" s="172">
        <f t="shared" si="115"/>
        <v>0</v>
      </c>
      <c r="H188" s="172">
        <f t="shared" si="115"/>
        <v>0</v>
      </c>
      <c r="I188" s="172">
        <f t="shared" si="115"/>
        <v>172260.6</v>
      </c>
      <c r="J188" s="172">
        <f t="shared" si="115"/>
        <v>6833.2299999999959</v>
      </c>
      <c r="K188" s="172">
        <f t="shared" si="115"/>
        <v>6833.2299999999959</v>
      </c>
    </row>
    <row r="189" spans="1:11" s="75" customFormat="1" ht="13.5">
      <c r="A189" s="93"/>
      <c r="B189" s="74"/>
      <c r="C189" s="156"/>
      <c r="D189" s="172"/>
      <c r="E189" s="172"/>
      <c r="F189" s="172"/>
      <c r="G189" s="172"/>
      <c r="H189" s="172"/>
      <c r="I189" s="172"/>
      <c r="J189" s="172"/>
      <c r="K189" s="172"/>
    </row>
    <row r="190" spans="1:11">
      <c r="A190" s="71" t="s">
        <v>13</v>
      </c>
      <c r="B190" s="27"/>
      <c r="C190" s="153" t="s">
        <v>209</v>
      </c>
      <c r="D190" s="170">
        <f>16934-10000</f>
        <v>6934</v>
      </c>
      <c r="E190" s="170">
        <f>16934-10000</f>
        <v>6934</v>
      </c>
      <c r="F190" s="170">
        <f>5578.8+957.6</f>
        <v>6536.4000000000005</v>
      </c>
      <c r="G190" s="170">
        <v>0</v>
      </c>
      <c r="H190" s="170">
        <v>0</v>
      </c>
      <c r="I190" s="170">
        <f>5578.8+957.6</f>
        <v>6536.4000000000005</v>
      </c>
      <c r="J190" s="170">
        <f>D190-I190</f>
        <v>397.59999999999945</v>
      </c>
      <c r="K190" s="170">
        <f>E190-I190</f>
        <v>397.59999999999945</v>
      </c>
    </row>
    <row r="191" spans="1:11">
      <c r="A191" s="71" t="s">
        <v>16</v>
      </c>
      <c r="B191" s="27"/>
      <c r="C191" s="153" t="s">
        <v>250</v>
      </c>
      <c r="D191" s="170">
        <f>11350-4500-6000</f>
        <v>850</v>
      </c>
      <c r="E191" s="170">
        <f>11350-4500-6000</f>
        <v>850</v>
      </c>
      <c r="F191" s="170">
        <v>375</v>
      </c>
      <c r="G191" s="170">
        <v>0</v>
      </c>
      <c r="H191" s="170">
        <v>0</v>
      </c>
      <c r="I191" s="170">
        <v>375</v>
      </c>
      <c r="J191" s="170">
        <f>D191-I191</f>
        <v>475</v>
      </c>
      <c r="K191" s="170">
        <f>E191-I191</f>
        <v>475</v>
      </c>
    </row>
    <row r="192" spans="1:11" s="75" customFormat="1" ht="13.5">
      <c r="A192" s="77" t="s">
        <v>136</v>
      </c>
      <c r="B192" s="74"/>
      <c r="C192" s="156"/>
      <c r="D192" s="172">
        <f>D193+D194+D195</f>
        <v>58584</v>
      </c>
      <c r="E192" s="172">
        <f>E193+E194+E195</f>
        <v>58584</v>
      </c>
      <c r="F192" s="172">
        <f t="shared" ref="F192" si="117">F193+F194+F195</f>
        <v>57986</v>
      </c>
      <c r="G192" s="172">
        <f t="shared" ref="G192:K192" si="118">G193+G194+G195</f>
        <v>0</v>
      </c>
      <c r="H192" s="172">
        <f t="shared" si="118"/>
        <v>0</v>
      </c>
      <c r="I192" s="172">
        <f t="shared" si="118"/>
        <v>57986</v>
      </c>
      <c r="J192" s="172">
        <f t="shared" si="118"/>
        <v>598</v>
      </c>
      <c r="K192" s="172">
        <f t="shared" si="118"/>
        <v>598</v>
      </c>
    </row>
    <row r="193" spans="1:11">
      <c r="A193" s="71" t="s">
        <v>12</v>
      </c>
      <c r="B193" s="27"/>
      <c r="C193" s="153" t="s">
        <v>251</v>
      </c>
      <c r="D193" s="170">
        <f>11948-4000</f>
        <v>7948</v>
      </c>
      <c r="E193" s="170">
        <f>11948-4000</f>
        <v>7948</v>
      </c>
      <c r="F193" s="170">
        <f>7307+379</f>
        <v>7686</v>
      </c>
      <c r="G193" s="170">
        <v>0</v>
      </c>
      <c r="H193" s="170">
        <v>0</v>
      </c>
      <c r="I193" s="170">
        <f>7307+379</f>
        <v>7686</v>
      </c>
      <c r="J193" s="170">
        <f>D193-I193</f>
        <v>262</v>
      </c>
      <c r="K193" s="170">
        <f>E193-I193</f>
        <v>262</v>
      </c>
    </row>
    <row r="194" spans="1:11">
      <c r="A194" s="71" t="s">
        <v>15</v>
      </c>
      <c r="B194" s="27"/>
      <c r="C194" s="153" t="s">
        <v>210</v>
      </c>
      <c r="D194" s="170">
        <v>3852</v>
      </c>
      <c r="E194" s="170">
        <v>3852</v>
      </c>
      <c r="F194" s="170">
        <f>2900+800</f>
        <v>3700</v>
      </c>
      <c r="G194" s="170">
        <v>0</v>
      </c>
      <c r="H194" s="170">
        <v>0</v>
      </c>
      <c r="I194" s="170">
        <f>2900+800</f>
        <v>3700</v>
      </c>
      <c r="J194" s="170">
        <f>D194-I194</f>
        <v>152</v>
      </c>
      <c r="K194" s="170">
        <f>E194-I194</f>
        <v>152</v>
      </c>
    </row>
    <row r="195" spans="1:11">
      <c r="A195" s="71" t="s">
        <v>16</v>
      </c>
      <c r="B195" s="27"/>
      <c r="C195" s="153" t="s">
        <v>252</v>
      </c>
      <c r="D195" s="170">
        <f>57784-11000</f>
        <v>46784</v>
      </c>
      <c r="E195" s="170">
        <f>57784-11000</f>
        <v>46784</v>
      </c>
      <c r="F195" s="170">
        <f>2060+40070+4470</f>
        <v>46600</v>
      </c>
      <c r="G195" s="170">
        <v>0</v>
      </c>
      <c r="H195" s="170">
        <v>0</v>
      </c>
      <c r="I195" s="170">
        <f>2060+40070+4470</f>
        <v>46600</v>
      </c>
      <c r="J195" s="170">
        <f>D195-I195</f>
        <v>184</v>
      </c>
      <c r="K195" s="170">
        <f>E195-I195</f>
        <v>184</v>
      </c>
    </row>
    <row r="196" spans="1:11">
      <c r="A196" s="71" t="s">
        <v>18</v>
      </c>
      <c r="B196" s="27"/>
      <c r="C196" s="153" t="s">
        <v>480</v>
      </c>
      <c r="D196" s="170">
        <v>3290</v>
      </c>
      <c r="E196" s="170">
        <v>3290</v>
      </c>
      <c r="F196" s="170">
        <f>2990+300</f>
        <v>3290</v>
      </c>
      <c r="G196" s="170">
        <v>0</v>
      </c>
      <c r="H196" s="170">
        <v>0</v>
      </c>
      <c r="I196" s="170">
        <f>2990+300</f>
        <v>3290</v>
      </c>
      <c r="J196" s="170">
        <f>D196-I196</f>
        <v>0</v>
      </c>
      <c r="K196" s="170">
        <f>E196-I196</f>
        <v>0</v>
      </c>
    </row>
    <row r="197" spans="1:11" ht="25.5">
      <c r="A197" s="51" t="s">
        <v>154</v>
      </c>
      <c r="B197" s="27"/>
      <c r="C197" s="153" t="s">
        <v>211</v>
      </c>
      <c r="D197" s="170">
        <v>9193</v>
      </c>
      <c r="E197" s="170">
        <v>9193</v>
      </c>
      <c r="F197" s="170">
        <v>0</v>
      </c>
      <c r="G197" s="170">
        <v>0</v>
      </c>
      <c r="H197" s="170">
        <v>0</v>
      </c>
      <c r="I197" s="170">
        <v>0</v>
      </c>
      <c r="J197" s="170">
        <f>D197-I197</f>
        <v>9193</v>
      </c>
      <c r="K197" s="170">
        <f>E197-I197</f>
        <v>9193</v>
      </c>
    </row>
    <row r="198" spans="1:11">
      <c r="A198" s="51"/>
      <c r="B198" s="27"/>
      <c r="C198" s="153"/>
      <c r="D198" s="170"/>
      <c r="E198" s="170"/>
      <c r="F198" s="170"/>
      <c r="G198" s="170"/>
      <c r="H198" s="170"/>
      <c r="I198" s="170"/>
      <c r="J198" s="170"/>
      <c r="K198" s="170"/>
    </row>
    <row r="199" spans="1:11" s="61" customFormat="1">
      <c r="A199" s="79" t="s">
        <v>157</v>
      </c>
      <c r="B199" s="60"/>
      <c r="C199" s="154" t="s">
        <v>158</v>
      </c>
      <c r="D199" s="173">
        <f t="shared" ref="D199:K199" si="119">D200+D232</f>
        <v>2294988.92</v>
      </c>
      <c r="E199" s="173">
        <f t="shared" si="119"/>
        <v>2294988.92</v>
      </c>
      <c r="F199" s="173">
        <f t="shared" ref="F199:H199" si="120">F200+F232</f>
        <v>2254261.34</v>
      </c>
      <c r="G199" s="173">
        <v>0</v>
      </c>
      <c r="H199" s="173">
        <v>0</v>
      </c>
      <c r="I199" s="173">
        <f t="shared" si="119"/>
        <v>2254261.34</v>
      </c>
      <c r="J199" s="173">
        <f t="shared" si="119"/>
        <v>40727.580000000031</v>
      </c>
      <c r="K199" s="173">
        <f t="shared" si="119"/>
        <v>40727.580000000031</v>
      </c>
    </row>
    <row r="200" spans="1:11" s="61" customFormat="1" ht="111" customHeight="1">
      <c r="A200" s="97" t="s">
        <v>155</v>
      </c>
      <c r="B200" s="60"/>
      <c r="C200" s="154"/>
      <c r="D200" s="173">
        <f>D201+D211+D220+D222+D224+D221</f>
        <v>1744611.8199999998</v>
      </c>
      <c r="E200" s="173">
        <f t="shared" ref="E200:K200" si="121">E201+E211+E220+E222+E224+E221</f>
        <v>1744611.8199999998</v>
      </c>
      <c r="F200" s="173">
        <f>F201+F211+F220+F222+F224+F221</f>
        <v>1743134.24</v>
      </c>
      <c r="G200" s="173">
        <f>G201+G211+G220+G222+G224+G221</f>
        <v>0</v>
      </c>
      <c r="H200" s="173">
        <f t="shared" si="121"/>
        <v>0</v>
      </c>
      <c r="I200" s="173">
        <f>I201+I211+I220+I222+I224+I221</f>
        <v>1743134.24</v>
      </c>
      <c r="J200" s="173">
        <f t="shared" si="121"/>
        <v>1477.5800000000318</v>
      </c>
      <c r="K200" s="173">
        <f t="shared" si="121"/>
        <v>1477.5800000000318</v>
      </c>
    </row>
    <row r="201" spans="1:11" s="26" customFormat="1" ht="26.25">
      <c r="A201" s="51" t="s">
        <v>144</v>
      </c>
      <c r="B201" s="25"/>
      <c r="C201" s="156"/>
      <c r="D201" s="172">
        <f>D202+D207+D210</f>
        <v>854933</v>
      </c>
      <c r="E201" s="172">
        <f>E202+E207+E210</f>
        <v>854933</v>
      </c>
      <c r="F201" s="172">
        <f t="shared" ref="F201" si="122">F202+F207+F210</f>
        <v>854616.48</v>
      </c>
      <c r="G201" s="172">
        <f t="shared" ref="G201:K201" si="123">G202+G207+G210</f>
        <v>0</v>
      </c>
      <c r="H201" s="172">
        <f t="shared" si="123"/>
        <v>0</v>
      </c>
      <c r="I201" s="172">
        <f t="shared" si="123"/>
        <v>854616.48</v>
      </c>
      <c r="J201" s="172">
        <f t="shared" si="123"/>
        <v>316.52000000003318</v>
      </c>
      <c r="K201" s="172">
        <f t="shared" si="123"/>
        <v>316.52000000003318</v>
      </c>
    </row>
    <row r="202" spans="1:11" ht="13.5">
      <c r="A202" s="71" t="s">
        <v>22</v>
      </c>
      <c r="B202" s="74"/>
      <c r="C202" s="153" t="s">
        <v>213</v>
      </c>
      <c r="D202" s="170">
        <f>795076-20000-36000-85000</f>
        <v>654076</v>
      </c>
      <c r="E202" s="170">
        <f>795076-20000-36000-85000</f>
        <v>654076</v>
      </c>
      <c r="F202" s="170">
        <v>653836.19999999995</v>
      </c>
      <c r="G202" s="170">
        <v>0</v>
      </c>
      <c r="H202" s="170">
        <v>0</v>
      </c>
      <c r="I202" s="170">
        <v>653836.19999999995</v>
      </c>
      <c r="J202" s="170">
        <f>D202-I202</f>
        <v>239.80000000004657</v>
      </c>
      <c r="K202" s="170">
        <f>E202-I202</f>
        <v>239.80000000004657</v>
      </c>
    </row>
    <row r="203" spans="1:11" ht="38.25" hidden="1" customHeight="1">
      <c r="A203" s="71" t="s">
        <v>23</v>
      </c>
      <c r="B203" s="27"/>
      <c r="C203" s="153" t="s">
        <v>100</v>
      </c>
      <c r="D203" s="170"/>
      <c r="E203" s="170"/>
      <c r="F203" s="170"/>
      <c r="G203" s="170">
        <v>0</v>
      </c>
      <c r="H203" s="170">
        <v>0</v>
      </c>
      <c r="I203" s="170"/>
      <c r="J203" s="170">
        <f>D203-I203</f>
        <v>0</v>
      </c>
      <c r="K203" s="170">
        <f>E203-I203</f>
        <v>0</v>
      </c>
    </row>
    <row r="204" spans="1:11" ht="38.25">
      <c r="A204" s="71" t="s">
        <v>23</v>
      </c>
      <c r="B204" s="27"/>
      <c r="C204" s="153" t="s">
        <v>212</v>
      </c>
      <c r="D204" s="170">
        <f>2000-2000</f>
        <v>0</v>
      </c>
      <c r="E204" s="170">
        <f>2000-2000</f>
        <v>0</v>
      </c>
      <c r="F204" s="170">
        <v>0</v>
      </c>
      <c r="G204" s="170">
        <v>0</v>
      </c>
      <c r="H204" s="170">
        <v>0</v>
      </c>
      <c r="I204" s="170">
        <v>0</v>
      </c>
      <c r="J204" s="170">
        <f>D204-I204</f>
        <v>0</v>
      </c>
      <c r="K204" s="170">
        <f>E204-I204</f>
        <v>0</v>
      </c>
    </row>
    <row r="205" spans="1:11" ht="38.25">
      <c r="A205" s="71" t="s">
        <v>24</v>
      </c>
      <c r="B205" s="27"/>
      <c r="C205" s="153" t="s">
        <v>214</v>
      </c>
      <c r="D205" s="170">
        <f>3750-1500-1500</f>
        <v>750</v>
      </c>
      <c r="E205" s="170">
        <f>3750-1500-1500</f>
        <v>750</v>
      </c>
      <c r="F205" s="170">
        <v>750</v>
      </c>
      <c r="G205" s="170">
        <v>0</v>
      </c>
      <c r="H205" s="170">
        <v>0</v>
      </c>
      <c r="I205" s="170">
        <v>750</v>
      </c>
      <c r="J205" s="170">
        <f t="shared" ref="J205:J216" si="124">D205-I205</f>
        <v>0</v>
      </c>
      <c r="K205" s="170">
        <f t="shared" ref="K205:K216" si="125">E205-I205</f>
        <v>0</v>
      </c>
    </row>
    <row r="206" spans="1:11" ht="12.75" hidden="1" customHeight="1">
      <c r="A206" s="71" t="s">
        <v>119</v>
      </c>
      <c r="B206" s="27"/>
      <c r="C206" s="153" t="s">
        <v>124</v>
      </c>
      <c r="D206" s="170">
        <v>0</v>
      </c>
      <c r="E206" s="170">
        <v>0</v>
      </c>
      <c r="F206" s="170">
        <v>0</v>
      </c>
      <c r="G206" s="170"/>
      <c r="H206" s="170"/>
      <c r="I206" s="170">
        <v>0</v>
      </c>
      <c r="J206" s="170">
        <f>D206-I206</f>
        <v>0</v>
      </c>
      <c r="K206" s="170">
        <f>E206-I206</f>
        <v>0</v>
      </c>
    </row>
    <row r="207" spans="1:11" s="75" customFormat="1" ht="13.5">
      <c r="A207" s="76" t="s">
        <v>146</v>
      </c>
      <c r="B207" s="74"/>
      <c r="C207" s="156"/>
      <c r="D207" s="172">
        <f>SUM(D203:D206)</f>
        <v>750</v>
      </c>
      <c r="E207" s="172">
        <f>SUM(E203:E206)</f>
        <v>750</v>
      </c>
      <c r="F207" s="172">
        <f t="shared" ref="F207" si="126">SUM(F203:F206)</f>
        <v>750</v>
      </c>
      <c r="G207" s="172">
        <f t="shared" ref="G207:K207" si="127">SUM(G203:G206)</f>
        <v>0</v>
      </c>
      <c r="H207" s="172">
        <f t="shared" si="127"/>
        <v>0</v>
      </c>
      <c r="I207" s="172">
        <f t="shared" si="127"/>
        <v>750</v>
      </c>
      <c r="J207" s="172">
        <f t="shared" si="127"/>
        <v>0</v>
      </c>
      <c r="K207" s="172">
        <f t="shared" si="127"/>
        <v>0</v>
      </c>
    </row>
    <row r="208" spans="1:11" ht="25.5">
      <c r="A208" s="80" t="s">
        <v>101</v>
      </c>
      <c r="B208" s="27"/>
      <c r="C208" s="153" t="s">
        <v>215</v>
      </c>
      <c r="D208" s="170">
        <f>174917-13062-12700</f>
        <v>149155</v>
      </c>
      <c r="E208" s="170">
        <f>174917-13062-12700</f>
        <v>149155</v>
      </c>
      <c r="F208" s="170">
        <v>149120.23000000001</v>
      </c>
      <c r="G208" s="170">
        <v>0</v>
      </c>
      <c r="H208" s="170">
        <v>0</v>
      </c>
      <c r="I208" s="170">
        <v>149120.23000000001</v>
      </c>
      <c r="J208" s="170">
        <f t="shared" si="124"/>
        <v>34.769999999989523</v>
      </c>
      <c r="K208" s="170">
        <f t="shared" si="125"/>
        <v>34.769999999989523</v>
      </c>
    </row>
    <row r="209" spans="1:11">
      <c r="A209" s="80" t="s">
        <v>102</v>
      </c>
      <c r="B209" s="27"/>
      <c r="C209" s="153" t="s">
        <v>216</v>
      </c>
      <c r="D209" s="170">
        <f>65197-2874-1071-10300</f>
        <v>50952</v>
      </c>
      <c r="E209" s="170">
        <f>65197-2874-1071-10300</f>
        <v>50952</v>
      </c>
      <c r="F209" s="170">
        <v>50910.05</v>
      </c>
      <c r="G209" s="170">
        <v>0</v>
      </c>
      <c r="H209" s="170">
        <v>0</v>
      </c>
      <c r="I209" s="170">
        <v>50910.05</v>
      </c>
      <c r="J209" s="170">
        <f t="shared" si="124"/>
        <v>41.94999999999709</v>
      </c>
      <c r="K209" s="170">
        <f t="shared" si="125"/>
        <v>41.94999999999709</v>
      </c>
    </row>
    <row r="210" spans="1:11" s="75" customFormat="1" ht="13.5">
      <c r="A210" s="51" t="s">
        <v>145</v>
      </c>
      <c r="B210" s="74"/>
      <c r="C210" s="156"/>
      <c r="D210" s="172">
        <f t="shared" ref="D210:K210" si="128">SUM(D208:D209)</f>
        <v>200107</v>
      </c>
      <c r="E210" s="172">
        <f>SUM(E208:E209)</f>
        <v>200107</v>
      </c>
      <c r="F210" s="172">
        <f t="shared" ref="F210" si="129">SUM(F208:F209)</f>
        <v>200030.28000000003</v>
      </c>
      <c r="G210" s="172">
        <f t="shared" si="128"/>
        <v>0</v>
      </c>
      <c r="H210" s="172">
        <f t="shared" si="128"/>
        <v>0</v>
      </c>
      <c r="I210" s="172">
        <f t="shared" si="128"/>
        <v>200030.28000000003</v>
      </c>
      <c r="J210" s="172">
        <f t="shared" si="128"/>
        <v>76.719999999986612</v>
      </c>
      <c r="K210" s="172">
        <f t="shared" si="128"/>
        <v>76.719999999986612</v>
      </c>
    </row>
    <row r="211" spans="1:11" s="75" customFormat="1" ht="13.5">
      <c r="A211" s="51" t="s">
        <v>136</v>
      </c>
      <c r="B211" s="74"/>
      <c r="C211" s="156"/>
      <c r="D211" s="172">
        <f>D212+D213+D217+D218+D219</f>
        <v>744835.38</v>
      </c>
      <c r="E211" s="172">
        <f>E212+E213+E217+E218+E219</f>
        <v>744835.38</v>
      </c>
      <c r="F211" s="172">
        <f t="shared" ref="F211" si="130">F212+F213+F217+F218+F219</f>
        <v>743674.32000000007</v>
      </c>
      <c r="G211" s="172">
        <f t="shared" ref="G211:K211" si="131">G212+G213+G217+G218+G219</f>
        <v>0</v>
      </c>
      <c r="H211" s="172">
        <f t="shared" si="131"/>
        <v>0</v>
      </c>
      <c r="I211" s="172">
        <f t="shared" si="131"/>
        <v>743674.32000000007</v>
      </c>
      <c r="J211" s="172">
        <f t="shared" si="131"/>
        <v>1161.0599999999986</v>
      </c>
      <c r="K211" s="172">
        <f t="shared" si="131"/>
        <v>1161.0599999999986</v>
      </c>
    </row>
    <row r="212" spans="1:11">
      <c r="A212" s="71" t="s">
        <v>12</v>
      </c>
      <c r="B212" s="27"/>
      <c r="C212" s="153" t="s">
        <v>217</v>
      </c>
      <c r="D212" s="170">
        <v>8148</v>
      </c>
      <c r="E212" s="170">
        <v>8148</v>
      </c>
      <c r="F212" s="170">
        <f>6802.13+277.61+637.2</f>
        <v>7716.94</v>
      </c>
      <c r="G212" s="170">
        <v>0</v>
      </c>
      <c r="H212" s="170">
        <v>0</v>
      </c>
      <c r="I212" s="170">
        <f>6802.13+277.61+637.2</f>
        <v>7716.94</v>
      </c>
      <c r="J212" s="170">
        <f t="shared" si="124"/>
        <v>431.0600000000004</v>
      </c>
      <c r="K212" s="170">
        <f t="shared" si="125"/>
        <v>431.0600000000004</v>
      </c>
    </row>
    <row r="213" spans="1:11">
      <c r="A213" s="71" t="s">
        <v>13</v>
      </c>
      <c r="B213" s="27"/>
      <c r="C213" s="153" t="s">
        <v>218</v>
      </c>
      <c r="D213" s="170">
        <f>5115-2185.31-1972.09</f>
        <v>957.60000000000014</v>
      </c>
      <c r="E213" s="170">
        <f>5115-2185.31-1972.09</f>
        <v>957.60000000000014</v>
      </c>
      <c r="F213" s="170">
        <v>957.6</v>
      </c>
      <c r="G213" s="170">
        <v>0</v>
      </c>
      <c r="H213" s="170">
        <v>0</v>
      </c>
      <c r="I213" s="170">
        <v>957.6</v>
      </c>
      <c r="J213" s="170">
        <f>D213-I213</f>
        <v>0</v>
      </c>
      <c r="K213" s="170">
        <f>E213-I213</f>
        <v>0</v>
      </c>
    </row>
    <row r="214" spans="1:11" ht="25.5">
      <c r="A214" s="71" t="s">
        <v>29</v>
      </c>
      <c r="B214" s="27"/>
      <c r="C214" s="153" t="s">
        <v>219</v>
      </c>
      <c r="D214" s="170">
        <f>567624-20000+18137.18</f>
        <v>565761.18000000005</v>
      </c>
      <c r="E214" s="170">
        <f>567624-20000+18137.18</f>
        <v>565761.18000000005</v>
      </c>
      <c r="F214" s="170">
        <f>18137.18+547624</f>
        <v>565761.18000000005</v>
      </c>
      <c r="G214" s="170">
        <v>0</v>
      </c>
      <c r="H214" s="170">
        <v>0</v>
      </c>
      <c r="I214" s="170">
        <f>18137.18+547624</f>
        <v>565761.18000000005</v>
      </c>
      <c r="J214" s="170">
        <f t="shared" si="124"/>
        <v>0</v>
      </c>
      <c r="K214" s="170">
        <f t="shared" si="125"/>
        <v>0</v>
      </c>
    </row>
    <row r="215" spans="1:11">
      <c r="A215" s="71" t="s">
        <v>25</v>
      </c>
      <c r="B215" s="27"/>
      <c r="C215" s="153" t="s">
        <v>220</v>
      </c>
      <c r="D215" s="170">
        <f>4067.58+27000+2936.21</f>
        <v>34003.79</v>
      </c>
      <c r="E215" s="170">
        <f>4067.58+27000+2936.21</f>
        <v>34003.79</v>
      </c>
      <c r="F215" s="170">
        <v>34003.79</v>
      </c>
      <c r="G215" s="170">
        <v>0</v>
      </c>
      <c r="H215" s="170">
        <v>0</v>
      </c>
      <c r="I215" s="170">
        <v>34003.79</v>
      </c>
      <c r="J215" s="170">
        <f t="shared" si="124"/>
        <v>0</v>
      </c>
      <c r="K215" s="170">
        <f t="shared" si="125"/>
        <v>0</v>
      </c>
    </row>
    <row r="216" spans="1:11">
      <c r="A216" s="71" t="s">
        <v>26</v>
      </c>
      <c r="B216" s="27"/>
      <c r="C216" s="153" t="s">
        <v>221</v>
      </c>
      <c r="D216" s="170">
        <f>7765-2749.79</f>
        <v>5015.21</v>
      </c>
      <c r="E216" s="170">
        <f>7765-2749.79</f>
        <v>5015.21</v>
      </c>
      <c r="F216" s="170">
        <v>5015.21</v>
      </c>
      <c r="G216" s="170">
        <v>0</v>
      </c>
      <c r="H216" s="170">
        <v>0</v>
      </c>
      <c r="I216" s="170">
        <v>5015.21</v>
      </c>
      <c r="J216" s="170">
        <f t="shared" si="124"/>
        <v>0</v>
      </c>
      <c r="K216" s="170">
        <f t="shared" si="125"/>
        <v>0</v>
      </c>
    </row>
    <row r="217" spans="1:11" s="75" customFormat="1" ht="13.5">
      <c r="A217" s="51" t="s">
        <v>14</v>
      </c>
      <c r="B217" s="74"/>
      <c r="C217" s="156"/>
      <c r="D217" s="172">
        <f t="shared" ref="D217:K217" si="132">SUM(D214:D216)</f>
        <v>604780.18000000005</v>
      </c>
      <c r="E217" s="172">
        <f>SUM(E214:E216)</f>
        <v>604780.18000000005</v>
      </c>
      <c r="F217" s="172">
        <f t="shared" ref="F217" si="133">SUM(F214:F216)</f>
        <v>604780.18000000005</v>
      </c>
      <c r="G217" s="172">
        <f t="shared" si="132"/>
        <v>0</v>
      </c>
      <c r="H217" s="172">
        <f t="shared" si="132"/>
        <v>0</v>
      </c>
      <c r="I217" s="172">
        <f t="shared" si="132"/>
        <v>604780.18000000005</v>
      </c>
      <c r="J217" s="172">
        <f t="shared" si="132"/>
        <v>0</v>
      </c>
      <c r="K217" s="172">
        <f t="shared" si="132"/>
        <v>0</v>
      </c>
    </row>
    <row r="218" spans="1:11">
      <c r="A218" s="71" t="s">
        <v>15</v>
      </c>
      <c r="B218" s="27"/>
      <c r="C218" s="153" t="s">
        <v>222</v>
      </c>
      <c r="D218" s="170">
        <f>36000+55133+20000+3300</f>
        <v>114433</v>
      </c>
      <c r="E218" s="170">
        <f>36000+55133+20000+3300</f>
        <v>114433</v>
      </c>
      <c r="F218" s="170">
        <f>111133+3300</f>
        <v>114433</v>
      </c>
      <c r="G218" s="170">
        <v>0</v>
      </c>
      <c r="H218" s="170">
        <v>0</v>
      </c>
      <c r="I218" s="170">
        <f>111133+3300</f>
        <v>114433</v>
      </c>
      <c r="J218" s="170">
        <f t="shared" ref="J218:J222" si="134">D218-I218</f>
        <v>0</v>
      </c>
      <c r="K218" s="170">
        <f t="shared" ref="K218:K222" si="135">E218-I218</f>
        <v>0</v>
      </c>
    </row>
    <row r="219" spans="1:11">
      <c r="A219" s="71" t="s">
        <v>16</v>
      </c>
      <c r="B219" s="27"/>
      <c r="C219" s="153" t="s">
        <v>223</v>
      </c>
      <c r="D219" s="170">
        <f>730+4557+8300+2199.6+730</f>
        <v>16516.599999999999</v>
      </c>
      <c r="E219" s="170">
        <f>730+4557+8300+2199.6+730</f>
        <v>16516.599999999999</v>
      </c>
      <c r="F219" s="170">
        <f>730+12857+2199.6</f>
        <v>15786.6</v>
      </c>
      <c r="G219" s="170">
        <v>0</v>
      </c>
      <c r="H219" s="170">
        <v>0</v>
      </c>
      <c r="I219" s="170">
        <f>730+12857+2199.6</f>
        <v>15786.6</v>
      </c>
      <c r="J219" s="170">
        <f t="shared" si="134"/>
        <v>729.99999999999818</v>
      </c>
      <c r="K219" s="170">
        <f t="shared" si="135"/>
        <v>729.99999999999818</v>
      </c>
    </row>
    <row r="220" spans="1:11">
      <c r="A220" s="71" t="s">
        <v>17</v>
      </c>
      <c r="B220" s="27"/>
      <c r="C220" s="153" t="s">
        <v>224</v>
      </c>
      <c r="D220" s="170">
        <f>19670-600-506.55-7894.01</f>
        <v>10669.44</v>
      </c>
      <c r="E220" s="170">
        <f>19670-600-506.55-7894.01</f>
        <v>10669.44</v>
      </c>
      <c r="F220" s="170">
        <v>10669.44</v>
      </c>
      <c r="G220" s="170">
        <v>0</v>
      </c>
      <c r="H220" s="170">
        <v>0</v>
      </c>
      <c r="I220" s="170">
        <v>10669.44</v>
      </c>
      <c r="J220" s="170">
        <f t="shared" si="134"/>
        <v>0</v>
      </c>
      <c r="K220" s="170">
        <f t="shared" si="135"/>
        <v>0</v>
      </c>
    </row>
    <row r="221" spans="1:11">
      <c r="A221" s="51" t="s">
        <v>18</v>
      </c>
      <c r="B221" s="27"/>
      <c r="C221" s="153" t="s">
        <v>479</v>
      </c>
      <c r="D221" s="170">
        <v>88967</v>
      </c>
      <c r="E221" s="170">
        <v>88967</v>
      </c>
      <c r="F221" s="170">
        <v>88967</v>
      </c>
      <c r="G221" s="170">
        <v>0</v>
      </c>
      <c r="H221" s="170">
        <v>0</v>
      </c>
      <c r="I221" s="170">
        <v>88967</v>
      </c>
      <c r="J221" s="170">
        <f t="shared" si="134"/>
        <v>0</v>
      </c>
      <c r="K221" s="170">
        <f t="shared" si="135"/>
        <v>0</v>
      </c>
    </row>
    <row r="222" spans="1:11" ht="25.5">
      <c r="A222" s="51" t="s">
        <v>154</v>
      </c>
      <c r="B222" s="27"/>
      <c r="C222" s="153" t="s">
        <v>225</v>
      </c>
      <c r="D222" s="170">
        <f>8437+8914.2-9355.2</f>
        <v>7996</v>
      </c>
      <c r="E222" s="170">
        <f>8437+8914.2-9355.2</f>
        <v>7996</v>
      </c>
      <c r="F222" s="170">
        <v>7996</v>
      </c>
      <c r="G222" s="170">
        <v>0</v>
      </c>
      <c r="H222" s="170">
        <v>0</v>
      </c>
      <c r="I222" s="170">
        <v>7996</v>
      </c>
      <c r="J222" s="170">
        <f t="shared" si="134"/>
        <v>0</v>
      </c>
      <c r="K222" s="170">
        <f t="shared" si="135"/>
        <v>0</v>
      </c>
    </row>
    <row r="223" spans="1:11">
      <c r="A223" s="51"/>
      <c r="B223" s="27"/>
      <c r="C223" s="153"/>
      <c r="D223" s="170"/>
      <c r="E223" s="170"/>
      <c r="F223" s="170"/>
      <c r="G223" s="170"/>
      <c r="H223" s="170"/>
      <c r="I223" s="170"/>
      <c r="J223" s="170"/>
      <c r="K223" s="170"/>
    </row>
    <row r="224" spans="1:11" s="26" customFormat="1" ht="13.5">
      <c r="A224" s="98" t="s">
        <v>267</v>
      </c>
      <c r="B224" s="25"/>
      <c r="C224" s="156"/>
      <c r="D224" s="172">
        <f>D225+D228</f>
        <v>37211</v>
      </c>
      <c r="E224" s="172">
        <f>E225+E228</f>
        <v>37211</v>
      </c>
      <c r="F224" s="172">
        <f t="shared" ref="F224" si="136">F225+F228</f>
        <v>37211</v>
      </c>
      <c r="G224" s="172">
        <f t="shared" ref="G224:K224" si="137">G225+G228</f>
        <v>0</v>
      </c>
      <c r="H224" s="172">
        <f t="shared" si="137"/>
        <v>0</v>
      </c>
      <c r="I224" s="172">
        <f t="shared" si="137"/>
        <v>37211</v>
      </c>
      <c r="J224" s="172">
        <f t="shared" si="137"/>
        <v>0</v>
      </c>
      <c r="K224" s="172">
        <f t="shared" si="137"/>
        <v>0</v>
      </c>
    </row>
    <row r="225" spans="1:11" ht="13.5">
      <c r="A225" s="71" t="s">
        <v>22</v>
      </c>
      <c r="B225" s="74"/>
      <c r="C225" s="153" t="s">
        <v>420</v>
      </c>
      <c r="D225" s="170">
        <f>15518+13062</f>
        <v>28580</v>
      </c>
      <c r="E225" s="170">
        <f>15518+13062</f>
        <v>28580</v>
      </c>
      <c r="F225" s="170">
        <f>15518+13062</f>
        <v>28580</v>
      </c>
      <c r="G225" s="170">
        <v>0</v>
      </c>
      <c r="H225" s="170">
        <v>0</v>
      </c>
      <c r="I225" s="170">
        <f>15518+13062</f>
        <v>28580</v>
      </c>
      <c r="J225" s="170">
        <f>D225-I225</f>
        <v>0</v>
      </c>
      <c r="K225" s="170">
        <f>E225-I225</f>
        <v>0</v>
      </c>
    </row>
    <row r="226" spans="1:11" ht="25.5">
      <c r="A226" s="80" t="s">
        <v>101</v>
      </c>
      <c r="B226" s="27"/>
      <c r="C226" s="153" t="s">
        <v>421</v>
      </c>
      <c r="D226" s="170">
        <f>2874+3414</f>
        <v>6288</v>
      </c>
      <c r="E226" s="170">
        <f>2874+3414</f>
        <v>6288</v>
      </c>
      <c r="F226" s="170">
        <f>2874+3414</f>
        <v>6288</v>
      </c>
      <c r="G226" s="170">
        <v>0</v>
      </c>
      <c r="H226" s="170">
        <v>0</v>
      </c>
      <c r="I226" s="170">
        <f>2874+3414</f>
        <v>6288</v>
      </c>
      <c r="J226" s="170">
        <f>D226-I226</f>
        <v>0</v>
      </c>
      <c r="K226" s="170">
        <f>E226-I226</f>
        <v>0</v>
      </c>
    </row>
    <row r="227" spans="1:11">
      <c r="A227" s="80" t="s">
        <v>102</v>
      </c>
      <c r="B227" s="27"/>
      <c r="C227" s="153" t="s">
        <v>262</v>
      </c>
      <c r="D227" s="170">
        <f>1071+1272</f>
        <v>2343</v>
      </c>
      <c r="E227" s="170">
        <f>1071+1272</f>
        <v>2343</v>
      </c>
      <c r="F227" s="170">
        <f>1071+1272</f>
        <v>2343</v>
      </c>
      <c r="G227" s="170">
        <v>0</v>
      </c>
      <c r="H227" s="170">
        <v>0</v>
      </c>
      <c r="I227" s="170">
        <f>1071+1272</f>
        <v>2343</v>
      </c>
      <c r="J227" s="170">
        <f>D227-I227</f>
        <v>0</v>
      </c>
      <c r="K227" s="170">
        <f>E227-I227</f>
        <v>0</v>
      </c>
    </row>
    <row r="228" spans="1:11" s="26" customFormat="1" ht="13.5">
      <c r="A228" s="51" t="s">
        <v>145</v>
      </c>
      <c r="B228" s="74"/>
      <c r="C228" s="156"/>
      <c r="D228" s="172">
        <f>SUM(D226:D227)</f>
        <v>8631</v>
      </c>
      <c r="E228" s="172">
        <f>SUM(E226:E227)</f>
        <v>8631</v>
      </c>
      <c r="F228" s="172">
        <f t="shared" ref="F228" si="138">SUM(F226:F227)</f>
        <v>8631</v>
      </c>
      <c r="G228" s="172">
        <f t="shared" ref="G228:K228" si="139">SUM(G226:G227)</f>
        <v>0</v>
      </c>
      <c r="H228" s="172">
        <f t="shared" si="139"/>
        <v>0</v>
      </c>
      <c r="I228" s="172">
        <f t="shared" si="139"/>
        <v>8631</v>
      </c>
      <c r="J228" s="172">
        <f t="shared" si="139"/>
        <v>0</v>
      </c>
      <c r="K228" s="172">
        <f t="shared" si="139"/>
        <v>0</v>
      </c>
    </row>
    <row r="229" spans="1:11" ht="12.75" hidden="1" customHeight="1">
      <c r="A229" s="80" t="s">
        <v>102</v>
      </c>
      <c r="B229" s="27"/>
      <c r="C229" s="153" t="s">
        <v>262</v>
      </c>
      <c r="D229" s="170">
        <v>1272</v>
      </c>
      <c r="E229" s="170">
        <v>1272</v>
      </c>
      <c r="F229" s="170"/>
      <c r="G229" s="170"/>
      <c r="H229" s="170"/>
      <c r="I229" s="170"/>
      <c r="J229" s="170">
        <f>D229-I229</f>
        <v>1272</v>
      </c>
      <c r="K229" s="170">
        <f>E229-I229</f>
        <v>1272</v>
      </c>
    </row>
    <row r="230" spans="1:11" s="75" customFormat="1" ht="13.5" hidden="1" customHeight="1">
      <c r="A230" s="51" t="s">
        <v>145</v>
      </c>
      <c r="B230" s="74"/>
      <c r="C230" s="156"/>
      <c r="D230" s="172">
        <f t="shared" ref="D230:K230" si="140">SUM(D228:D229)</f>
        <v>9903</v>
      </c>
      <c r="E230" s="172">
        <f>SUM(E228:E229)</f>
        <v>9903</v>
      </c>
      <c r="F230" s="172">
        <f t="shared" ref="F230" si="141">SUM(F228:F229)</f>
        <v>8631</v>
      </c>
      <c r="G230" s="172">
        <f t="shared" si="140"/>
        <v>0</v>
      </c>
      <c r="H230" s="172">
        <f t="shared" si="140"/>
        <v>0</v>
      </c>
      <c r="I230" s="172">
        <f t="shared" si="140"/>
        <v>8631</v>
      </c>
      <c r="J230" s="172">
        <f t="shared" si="140"/>
        <v>1272</v>
      </c>
      <c r="K230" s="172">
        <f t="shared" si="140"/>
        <v>1272</v>
      </c>
    </row>
    <row r="231" spans="1:11" s="61" customFormat="1">
      <c r="A231" s="84"/>
      <c r="B231" s="60"/>
      <c r="C231" s="154"/>
      <c r="D231" s="173"/>
      <c r="E231" s="173"/>
      <c r="F231" s="173"/>
      <c r="G231" s="173"/>
      <c r="H231" s="173"/>
      <c r="I231" s="173"/>
      <c r="J231" s="173"/>
      <c r="K231" s="173"/>
    </row>
    <row r="232" spans="1:11" s="61" customFormat="1" ht="115.5" customHeight="1">
      <c r="A232" s="97" t="s">
        <v>156</v>
      </c>
      <c r="B232" s="60"/>
      <c r="C232" s="154"/>
      <c r="D232" s="173">
        <f>D233+D241+D247+D248+D249+D251+D255</f>
        <v>550377.10000000009</v>
      </c>
      <c r="E232" s="173">
        <f t="shared" ref="E232:K232" si="142">E233+E241+E247+E248+E249+E251+E255</f>
        <v>550377.10000000009</v>
      </c>
      <c r="F232" s="173">
        <f t="shared" ref="F232" si="143">F233+F241+F247+F248+F249+F251+F255</f>
        <v>511127.10000000003</v>
      </c>
      <c r="G232" s="173">
        <f t="shared" si="142"/>
        <v>0</v>
      </c>
      <c r="H232" s="173">
        <f t="shared" si="142"/>
        <v>0</v>
      </c>
      <c r="I232" s="173">
        <f t="shared" si="142"/>
        <v>511127.10000000003</v>
      </c>
      <c r="J232" s="173">
        <f t="shared" si="142"/>
        <v>39250</v>
      </c>
      <c r="K232" s="173">
        <f t="shared" si="142"/>
        <v>39250</v>
      </c>
    </row>
    <row r="233" spans="1:11" ht="25.5">
      <c r="A233" s="51" t="s">
        <v>144</v>
      </c>
      <c r="B233" s="27"/>
      <c r="C233" s="153"/>
      <c r="D233" s="178">
        <f>D234+D237+D240</f>
        <v>395465.16000000003</v>
      </c>
      <c r="E233" s="178">
        <f>E234+E237+E240</f>
        <v>395465.16000000003</v>
      </c>
      <c r="F233" s="178">
        <f t="shared" ref="F233" si="144">F234+F237+F240</f>
        <v>395465.16000000003</v>
      </c>
      <c r="G233" s="178">
        <f t="shared" ref="G233:K233" si="145">G234+G237+G240</f>
        <v>0</v>
      </c>
      <c r="H233" s="178">
        <f t="shared" si="145"/>
        <v>0</v>
      </c>
      <c r="I233" s="178">
        <f t="shared" si="145"/>
        <v>395465.16000000003</v>
      </c>
      <c r="J233" s="178">
        <f t="shared" si="145"/>
        <v>0</v>
      </c>
      <c r="K233" s="178">
        <f t="shared" si="145"/>
        <v>0</v>
      </c>
    </row>
    <row r="234" spans="1:11" ht="13.5">
      <c r="A234" s="71" t="s">
        <v>22</v>
      </c>
      <c r="B234" s="74"/>
      <c r="C234" s="153" t="s">
        <v>226</v>
      </c>
      <c r="D234" s="170">
        <f>311473+10982-22236.42</f>
        <v>300218.58</v>
      </c>
      <c r="E234" s="170">
        <f>311473+10982-22236.42</f>
        <v>300218.58</v>
      </c>
      <c r="F234" s="170">
        <v>300218.58</v>
      </c>
      <c r="G234" s="170">
        <v>0</v>
      </c>
      <c r="H234" s="170">
        <v>0</v>
      </c>
      <c r="I234" s="170">
        <v>300218.58</v>
      </c>
      <c r="J234" s="170">
        <f>D234-I234</f>
        <v>0</v>
      </c>
      <c r="K234" s="170">
        <f>E234-I234</f>
        <v>0</v>
      </c>
    </row>
    <row r="235" spans="1:11" ht="38.25">
      <c r="A235" s="71" t="s">
        <v>23</v>
      </c>
      <c r="B235" s="27"/>
      <c r="C235" s="153" t="s">
        <v>227</v>
      </c>
      <c r="D235" s="170">
        <v>0</v>
      </c>
      <c r="E235" s="170">
        <v>0</v>
      </c>
      <c r="F235" s="170">
        <v>0</v>
      </c>
      <c r="G235" s="170">
        <v>0</v>
      </c>
      <c r="H235" s="170">
        <v>0</v>
      </c>
      <c r="I235" s="170">
        <v>0</v>
      </c>
      <c r="J235" s="170">
        <f>D235-I235</f>
        <v>0</v>
      </c>
      <c r="K235" s="170">
        <f>E235-I235</f>
        <v>0</v>
      </c>
    </row>
    <row r="236" spans="1:11" ht="38.25">
      <c r="A236" s="71" t="s">
        <v>24</v>
      </c>
      <c r="B236" s="27"/>
      <c r="C236" s="153" t="s">
        <v>228</v>
      </c>
      <c r="D236" s="170">
        <f>2000-1000-1000</f>
        <v>0</v>
      </c>
      <c r="E236" s="170">
        <f>2000-1000-1000</f>
        <v>0</v>
      </c>
      <c r="F236" s="170">
        <v>0</v>
      </c>
      <c r="G236" s="170">
        <v>0</v>
      </c>
      <c r="H236" s="170">
        <v>0</v>
      </c>
      <c r="I236" s="170">
        <v>0</v>
      </c>
      <c r="J236" s="170">
        <f>D236-I236</f>
        <v>0</v>
      </c>
      <c r="K236" s="170">
        <f>E236-I236</f>
        <v>0</v>
      </c>
    </row>
    <row r="237" spans="1:11" s="99" customFormat="1" ht="13.5">
      <c r="A237" s="76" t="s">
        <v>146</v>
      </c>
      <c r="B237" s="74"/>
      <c r="C237" s="156"/>
      <c r="D237" s="172">
        <f>SUM(D235:D236)</f>
        <v>0</v>
      </c>
      <c r="E237" s="172">
        <f>SUM(E235:E236)</f>
        <v>0</v>
      </c>
      <c r="F237" s="172">
        <f t="shared" ref="F237" si="146">SUM(F235:F236)</f>
        <v>0</v>
      </c>
      <c r="G237" s="172">
        <f t="shared" ref="G237:K237" si="147">SUM(G235:G236)</f>
        <v>0</v>
      </c>
      <c r="H237" s="172">
        <f t="shared" si="147"/>
        <v>0</v>
      </c>
      <c r="I237" s="172">
        <f t="shared" si="147"/>
        <v>0</v>
      </c>
      <c r="J237" s="172">
        <f t="shared" si="147"/>
        <v>0</v>
      </c>
      <c r="K237" s="172">
        <f t="shared" si="147"/>
        <v>0</v>
      </c>
    </row>
    <row r="238" spans="1:11" ht="25.5">
      <c r="A238" s="80" t="s">
        <v>101</v>
      </c>
      <c r="B238" s="27"/>
      <c r="C238" s="153" t="s">
        <v>229</v>
      </c>
      <c r="D238" s="170">
        <f>70124-3686.9</f>
        <v>66437.100000000006</v>
      </c>
      <c r="E238" s="170">
        <f>70124-3686.9</f>
        <v>66437.100000000006</v>
      </c>
      <c r="F238" s="170">
        <v>66437.100000000006</v>
      </c>
      <c r="G238" s="170">
        <v>0</v>
      </c>
      <c r="H238" s="170">
        <v>0</v>
      </c>
      <c r="I238" s="170">
        <v>66437.100000000006</v>
      </c>
      <c r="J238" s="170">
        <f>D238-I238</f>
        <v>0</v>
      </c>
      <c r="K238" s="170">
        <f>E238-I238</f>
        <v>0</v>
      </c>
    </row>
    <row r="239" spans="1:11">
      <c r="A239" s="80" t="s">
        <v>102</v>
      </c>
      <c r="B239" s="27"/>
      <c r="C239" s="153" t="s">
        <v>230</v>
      </c>
      <c r="D239" s="170">
        <f>27000+1809.48</f>
        <v>28809.48</v>
      </c>
      <c r="E239" s="170">
        <f>27000+1809.48</f>
        <v>28809.48</v>
      </c>
      <c r="F239" s="170">
        <f>24617.92+4191.56</f>
        <v>28809.48</v>
      </c>
      <c r="G239" s="170">
        <v>0</v>
      </c>
      <c r="H239" s="170">
        <v>0</v>
      </c>
      <c r="I239" s="170">
        <f>24617.92+4191.56</f>
        <v>28809.48</v>
      </c>
      <c r="J239" s="170">
        <f>D239-I239</f>
        <v>0</v>
      </c>
      <c r="K239" s="170">
        <f>E239-I239</f>
        <v>0</v>
      </c>
    </row>
    <row r="240" spans="1:11" s="26" customFormat="1" ht="13.5">
      <c r="A240" s="51" t="s">
        <v>145</v>
      </c>
      <c r="B240" s="74"/>
      <c r="C240" s="156"/>
      <c r="D240" s="172">
        <f>SUM(D238:D239)</f>
        <v>95246.58</v>
      </c>
      <c r="E240" s="172">
        <f>SUM(E238:E239)</f>
        <v>95246.58</v>
      </c>
      <c r="F240" s="172">
        <f t="shared" ref="F240" si="148">SUM(F238:F239)</f>
        <v>95246.58</v>
      </c>
      <c r="G240" s="172">
        <f t="shared" ref="G240:K240" si="149">SUM(G238:G239)</f>
        <v>0</v>
      </c>
      <c r="H240" s="172">
        <f t="shared" si="149"/>
        <v>0</v>
      </c>
      <c r="I240" s="172">
        <f t="shared" si="149"/>
        <v>95246.58</v>
      </c>
      <c r="J240" s="172">
        <f t="shared" si="149"/>
        <v>0</v>
      </c>
      <c r="K240" s="172">
        <f t="shared" si="149"/>
        <v>0</v>
      </c>
    </row>
    <row r="241" spans="1:11" s="26" customFormat="1" ht="13.5">
      <c r="A241" s="51" t="s">
        <v>136</v>
      </c>
      <c r="B241" s="74"/>
      <c r="C241" s="156"/>
      <c r="D241" s="172">
        <f>D242+D243+D246+D245</f>
        <v>25459.9</v>
      </c>
      <c r="E241" s="172">
        <f>E242+E243+E246+E245</f>
        <v>25459.9</v>
      </c>
      <c r="F241" s="172">
        <f t="shared" ref="F241" si="150">F242+F243+F246+F245</f>
        <v>25459.9</v>
      </c>
      <c r="G241" s="172">
        <f t="shared" ref="G241:K241" si="151">G242+G243+G246+G245</f>
        <v>0</v>
      </c>
      <c r="H241" s="172">
        <f t="shared" si="151"/>
        <v>0</v>
      </c>
      <c r="I241" s="172">
        <f t="shared" si="151"/>
        <v>25459.9</v>
      </c>
      <c r="J241" s="172">
        <f t="shared" si="151"/>
        <v>0</v>
      </c>
      <c r="K241" s="172">
        <f t="shared" si="151"/>
        <v>0</v>
      </c>
    </row>
    <row r="242" spans="1:11">
      <c r="A242" s="71" t="s">
        <v>12</v>
      </c>
      <c r="B242" s="27"/>
      <c r="C242" s="153" t="s">
        <v>231</v>
      </c>
      <c r="D242" s="170">
        <f>35300-17400-2400</f>
        <v>15500</v>
      </c>
      <c r="E242" s="170">
        <f>35300-17400-2400</f>
        <v>15500</v>
      </c>
      <c r="F242" s="170">
        <v>15500</v>
      </c>
      <c r="G242" s="170">
        <v>0</v>
      </c>
      <c r="H242" s="170">
        <v>0</v>
      </c>
      <c r="I242" s="170">
        <v>15500</v>
      </c>
      <c r="J242" s="170">
        <f t="shared" ref="J242:J249" si="152">D242-I242</f>
        <v>0</v>
      </c>
      <c r="K242" s="170">
        <f t="shared" ref="K242:K249" si="153">E242-I242</f>
        <v>0</v>
      </c>
    </row>
    <row r="243" spans="1:11">
      <c r="A243" s="71" t="s">
        <v>13</v>
      </c>
      <c r="B243" s="27"/>
      <c r="C243" s="153" t="s">
        <v>232</v>
      </c>
      <c r="D243" s="170">
        <f>958-958</f>
        <v>0</v>
      </c>
      <c r="E243" s="170">
        <f>958-958</f>
        <v>0</v>
      </c>
      <c r="F243" s="170">
        <v>0</v>
      </c>
      <c r="G243" s="170">
        <v>0</v>
      </c>
      <c r="H243" s="170">
        <v>0</v>
      </c>
      <c r="I243" s="170">
        <v>0</v>
      </c>
      <c r="J243" s="170">
        <f t="shared" si="152"/>
        <v>0</v>
      </c>
      <c r="K243" s="170">
        <f t="shared" si="153"/>
        <v>0</v>
      </c>
    </row>
    <row r="244" spans="1:11" ht="12.75" hidden="1" customHeight="1">
      <c r="A244" s="71" t="s">
        <v>15</v>
      </c>
      <c r="B244" s="27"/>
      <c r="C244" s="153" t="s">
        <v>125</v>
      </c>
      <c r="D244" s="170">
        <v>0</v>
      </c>
      <c r="E244" s="170">
        <v>0</v>
      </c>
      <c r="F244" s="170">
        <v>0</v>
      </c>
      <c r="G244" s="170">
        <v>0</v>
      </c>
      <c r="H244" s="170">
        <v>0</v>
      </c>
      <c r="I244" s="170">
        <v>0</v>
      </c>
      <c r="J244" s="170">
        <f t="shared" si="152"/>
        <v>0</v>
      </c>
      <c r="K244" s="170">
        <f t="shared" si="153"/>
        <v>0</v>
      </c>
    </row>
    <row r="245" spans="1:11">
      <c r="A245" s="71" t="s">
        <v>15</v>
      </c>
      <c r="B245" s="27"/>
      <c r="C245" s="153" t="s">
        <v>266</v>
      </c>
      <c r="D245" s="170">
        <f>2338+1600</f>
        <v>3938</v>
      </c>
      <c r="E245" s="170">
        <f>2338+1600</f>
        <v>3938</v>
      </c>
      <c r="F245" s="170">
        <f>1600+2338</f>
        <v>3938</v>
      </c>
      <c r="G245" s="170">
        <v>0</v>
      </c>
      <c r="H245" s="170">
        <v>0</v>
      </c>
      <c r="I245" s="170">
        <f>1600+2338</f>
        <v>3938</v>
      </c>
      <c r="J245" s="170">
        <f>D245-I245</f>
        <v>0</v>
      </c>
      <c r="K245" s="170">
        <f>E245-I245</f>
        <v>0</v>
      </c>
    </row>
    <row r="246" spans="1:11">
      <c r="A246" s="71" t="s">
        <v>16</v>
      </c>
      <c r="B246" s="27"/>
      <c r="C246" s="153" t="s">
        <v>233</v>
      </c>
      <c r="D246" s="170">
        <f>8464-2442.1</f>
        <v>6021.9</v>
      </c>
      <c r="E246" s="170">
        <f>8464-2442.1</f>
        <v>6021.9</v>
      </c>
      <c r="F246" s="170">
        <v>6021.9</v>
      </c>
      <c r="G246" s="170">
        <v>0</v>
      </c>
      <c r="H246" s="170">
        <v>0</v>
      </c>
      <c r="I246" s="170">
        <v>6021.9</v>
      </c>
      <c r="J246" s="170">
        <f t="shared" si="152"/>
        <v>0</v>
      </c>
      <c r="K246" s="170">
        <f t="shared" si="153"/>
        <v>0</v>
      </c>
    </row>
    <row r="247" spans="1:11">
      <c r="A247" s="71" t="s">
        <v>17</v>
      </c>
      <c r="B247" s="27"/>
      <c r="C247" s="153" t="s">
        <v>234</v>
      </c>
      <c r="D247" s="170">
        <f>3500-3248.96</f>
        <v>251.03999999999996</v>
      </c>
      <c r="E247" s="170">
        <f>3500-3248.96</f>
        <v>251.03999999999996</v>
      </c>
      <c r="F247" s="170">
        <v>251.04</v>
      </c>
      <c r="G247" s="170">
        <v>0</v>
      </c>
      <c r="H247" s="170">
        <v>0</v>
      </c>
      <c r="I247" s="170">
        <v>251.04</v>
      </c>
      <c r="J247" s="170">
        <f t="shared" si="152"/>
        <v>0</v>
      </c>
      <c r="K247" s="170">
        <f t="shared" si="153"/>
        <v>0</v>
      </c>
    </row>
    <row r="248" spans="1:11">
      <c r="A248" s="93" t="s">
        <v>18</v>
      </c>
      <c r="B248" s="27"/>
      <c r="C248" s="153" t="s">
        <v>481</v>
      </c>
      <c r="D248" s="170">
        <v>600</v>
      </c>
      <c r="E248" s="170">
        <v>600</v>
      </c>
      <c r="F248" s="170">
        <v>600</v>
      </c>
      <c r="G248" s="170">
        <v>0</v>
      </c>
      <c r="H248" s="170">
        <v>0</v>
      </c>
      <c r="I248" s="170">
        <v>600</v>
      </c>
      <c r="J248" s="170">
        <f t="shared" si="152"/>
        <v>0</v>
      </c>
      <c r="K248" s="170">
        <f t="shared" si="153"/>
        <v>0</v>
      </c>
    </row>
    <row r="249" spans="1:11" ht="25.5">
      <c r="A249" s="73" t="s">
        <v>103</v>
      </c>
      <c r="B249" s="27"/>
      <c r="C249" s="153" t="s">
        <v>235</v>
      </c>
      <c r="D249" s="170">
        <f>5871+5000</f>
        <v>10871</v>
      </c>
      <c r="E249" s="170">
        <f>5871+5000</f>
        <v>10871</v>
      </c>
      <c r="F249" s="170">
        <v>10871</v>
      </c>
      <c r="G249" s="170">
        <v>0</v>
      </c>
      <c r="H249" s="170">
        <v>0</v>
      </c>
      <c r="I249" s="170">
        <v>10871</v>
      </c>
      <c r="J249" s="170">
        <f t="shared" si="152"/>
        <v>0</v>
      </c>
      <c r="K249" s="170">
        <f t="shared" si="153"/>
        <v>0</v>
      </c>
    </row>
    <row r="250" spans="1:11">
      <c r="A250" s="73"/>
      <c r="B250" s="27"/>
      <c r="C250" s="153"/>
      <c r="D250" s="170"/>
      <c r="E250" s="170"/>
      <c r="F250" s="170"/>
      <c r="G250" s="170"/>
      <c r="H250" s="170"/>
      <c r="I250" s="170"/>
      <c r="J250" s="170"/>
      <c r="K250" s="170"/>
    </row>
    <row r="251" spans="1:11" s="99" customFormat="1">
      <c r="A251" s="118" t="s">
        <v>483</v>
      </c>
      <c r="B251" s="116"/>
      <c r="C251" s="158"/>
      <c r="D251" s="178">
        <f>D252+D253</f>
        <v>111000</v>
      </c>
      <c r="E251" s="178">
        <f t="shared" ref="E251:K251" si="154">E252+E253</f>
        <v>111000</v>
      </c>
      <c r="F251" s="178">
        <f t="shared" ref="F251" si="155">F252+F253</f>
        <v>71750</v>
      </c>
      <c r="G251" s="178">
        <f t="shared" si="154"/>
        <v>0</v>
      </c>
      <c r="H251" s="178">
        <f t="shared" si="154"/>
        <v>0</v>
      </c>
      <c r="I251" s="178">
        <f t="shared" si="154"/>
        <v>71750</v>
      </c>
      <c r="J251" s="178">
        <f t="shared" si="154"/>
        <v>39250</v>
      </c>
      <c r="K251" s="178">
        <f t="shared" si="154"/>
        <v>39250</v>
      </c>
    </row>
    <row r="252" spans="1:11">
      <c r="A252" s="71" t="s">
        <v>12</v>
      </c>
      <c r="B252" s="27"/>
      <c r="C252" s="153" t="s">
        <v>466</v>
      </c>
      <c r="D252" s="170">
        <v>39250</v>
      </c>
      <c r="E252" s="170">
        <v>39250</v>
      </c>
      <c r="F252" s="170">
        <v>0</v>
      </c>
      <c r="G252" s="170">
        <v>0</v>
      </c>
      <c r="H252" s="170">
        <v>0</v>
      </c>
      <c r="I252" s="170">
        <v>0</v>
      </c>
      <c r="J252" s="170">
        <f t="shared" ref="J252:J253" si="156">D252-I252</f>
        <v>39250</v>
      </c>
      <c r="K252" s="170">
        <f t="shared" ref="K252:K253" si="157">E252-I252</f>
        <v>39250</v>
      </c>
    </row>
    <row r="253" spans="1:11">
      <c r="A253" s="93" t="s">
        <v>18</v>
      </c>
      <c r="B253" s="27"/>
      <c r="C253" s="153" t="s">
        <v>472</v>
      </c>
      <c r="D253" s="170">
        <v>71750</v>
      </c>
      <c r="E253" s="170">
        <v>71750</v>
      </c>
      <c r="F253" s="170">
        <v>71750</v>
      </c>
      <c r="G253" s="170">
        <v>0</v>
      </c>
      <c r="H253" s="170">
        <v>0</v>
      </c>
      <c r="I253" s="170">
        <v>71750</v>
      </c>
      <c r="J253" s="170">
        <f t="shared" si="156"/>
        <v>0</v>
      </c>
      <c r="K253" s="170">
        <f t="shared" si="157"/>
        <v>0</v>
      </c>
    </row>
    <row r="254" spans="1:11">
      <c r="A254" s="93"/>
      <c r="B254" s="27"/>
      <c r="C254" s="153"/>
      <c r="D254" s="170"/>
      <c r="E254" s="170"/>
      <c r="F254" s="170"/>
      <c r="G254" s="170"/>
      <c r="H254" s="170"/>
      <c r="I254" s="170"/>
      <c r="J254" s="170"/>
      <c r="K254" s="170"/>
    </row>
    <row r="255" spans="1:11" s="99" customFormat="1">
      <c r="A255" s="117" t="s">
        <v>482</v>
      </c>
      <c r="B255" s="116"/>
      <c r="C255" s="158"/>
      <c r="D255" s="178">
        <f>D256+D257+D258</f>
        <v>6730</v>
      </c>
      <c r="E255" s="178">
        <f t="shared" ref="E255:K255" si="158">E256+E257+E258</f>
        <v>6730</v>
      </c>
      <c r="F255" s="178">
        <f t="shared" ref="F255" si="159">F256+F257+F258</f>
        <v>6730</v>
      </c>
      <c r="G255" s="178">
        <f t="shared" si="158"/>
        <v>0</v>
      </c>
      <c r="H255" s="178">
        <f t="shared" si="158"/>
        <v>0</v>
      </c>
      <c r="I255" s="178">
        <f t="shared" si="158"/>
        <v>6730</v>
      </c>
      <c r="J255" s="178">
        <f t="shared" si="158"/>
        <v>0</v>
      </c>
      <c r="K255" s="178">
        <f t="shared" si="158"/>
        <v>0</v>
      </c>
    </row>
    <row r="256" spans="1:11">
      <c r="A256" s="71" t="s">
        <v>12</v>
      </c>
      <c r="B256" s="27"/>
      <c r="C256" s="153" t="s">
        <v>465</v>
      </c>
      <c r="D256" s="170">
        <f>5080+450</f>
        <v>5530</v>
      </c>
      <c r="E256" s="170">
        <f>5080+450</f>
        <v>5530</v>
      </c>
      <c r="F256" s="170">
        <v>5530</v>
      </c>
      <c r="G256" s="170">
        <v>0</v>
      </c>
      <c r="H256" s="170">
        <v>0</v>
      </c>
      <c r="I256" s="170">
        <v>5530</v>
      </c>
      <c r="J256" s="170">
        <f t="shared" ref="J256" si="160">D256-I256</f>
        <v>0</v>
      </c>
      <c r="K256" s="170">
        <f t="shared" ref="K256" si="161">E256-I256</f>
        <v>0</v>
      </c>
    </row>
    <row r="257" spans="1:11">
      <c r="A257" s="71" t="s">
        <v>16</v>
      </c>
      <c r="B257" s="27"/>
      <c r="C257" s="153" t="s">
        <v>467</v>
      </c>
      <c r="D257" s="170">
        <f>450</f>
        <v>450</v>
      </c>
      <c r="E257" s="170">
        <f>450</f>
        <v>450</v>
      </c>
      <c r="F257" s="170">
        <v>450</v>
      </c>
      <c r="G257" s="170">
        <v>0</v>
      </c>
      <c r="H257" s="170">
        <v>0</v>
      </c>
      <c r="I257" s="170">
        <v>450</v>
      </c>
      <c r="J257" s="170">
        <f t="shared" ref="J257" si="162">D257-I257</f>
        <v>0</v>
      </c>
      <c r="K257" s="170">
        <f t="shared" ref="K257" si="163">E257-I257</f>
        <v>0</v>
      </c>
    </row>
    <row r="258" spans="1:11">
      <c r="A258" s="93" t="s">
        <v>18</v>
      </c>
      <c r="B258" s="27"/>
      <c r="C258" s="153" t="s">
        <v>464</v>
      </c>
      <c r="D258" s="170">
        <v>750</v>
      </c>
      <c r="E258" s="170">
        <v>750</v>
      </c>
      <c r="F258" s="170">
        <v>750</v>
      </c>
      <c r="G258" s="170">
        <v>0</v>
      </c>
      <c r="H258" s="170">
        <v>0</v>
      </c>
      <c r="I258" s="170">
        <v>750</v>
      </c>
      <c r="J258" s="170">
        <f t="shared" ref="J258" si="164">D258-I258</f>
        <v>0</v>
      </c>
      <c r="K258" s="170">
        <f t="shared" ref="K258" si="165">E258-I258</f>
        <v>0</v>
      </c>
    </row>
    <row r="259" spans="1:11">
      <c r="A259" s="93"/>
      <c r="B259" s="27"/>
      <c r="C259" s="153"/>
      <c r="D259" s="170"/>
      <c r="E259" s="170"/>
      <c r="F259" s="170"/>
      <c r="G259" s="170"/>
      <c r="H259" s="170"/>
      <c r="I259" s="170"/>
      <c r="J259" s="170"/>
      <c r="K259" s="170"/>
    </row>
    <row r="260" spans="1:11" s="26" customFormat="1" ht="13.5" hidden="1" customHeight="1">
      <c r="A260" s="98" t="s">
        <v>267</v>
      </c>
      <c r="B260" s="25"/>
      <c r="C260" s="156"/>
      <c r="D260" s="172">
        <f>D261+D264</f>
        <v>0</v>
      </c>
      <c r="E260" s="172">
        <f>E261+E264</f>
        <v>0</v>
      </c>
      <c r="F260" s="172">
        <f t="shared" ref="F260" si="166">F261+F264</f>
        <v>0</v>
      </c>
      <c r="G260" s="172">
        <f t="shared" ref="G260:K260" si="167">G261+G264</f>
        <v>0</v>
      </c>
      <c r="H260" s="172">
        <f t="shared" si="167"/>
        <v>0</v>
      </c>
      <c r="I260" s="172">
        <f t="shared" si="167"/>
        <v>0</v>
      </c>
      <c r="J260" s="172">
        <f t="shared" si="167"/>
        <v>0</v>
      </c>
      <c r="K260" s="172">
        <f t="shared" si="167"/>
        <v>0</v>
      </c>
    </row>
    <row r="261" spans="1:11" ht="13.5" hidden="1" customHeight="1">
      <c r="A261" s="71" t="s">
        <v>22</v>
      </c>
      <c r="B261" s="74"/>
      <c r="C261" s="153" t="s">
        <v>263</v>
      </c>
      <c r="D261" s="170"/>
      <c r="E261" s="170"/>
      <c r="F261" s="170">
        <v>0</v>
      </c>
      <c r="G261" s="170"/>
      <c r="H261" s="170"/>
      <c r="I261" s="170">
        <v>0</v>
      </c>
      <c r="J261" s="170">
        <f>D261-I261</f>
        <v>0</v>
      </c>
      <c r="K261" s="170">
        <f>E261-I261</f>
        <v>0</v>
      </c>
    </row>
    <row r="262" spans="1:11" ht="12.75" hidden="1" customHeight="1">
      <c r="A262" s="80" t="s">
        <v>101</v>
      </c>
      <c r="B262" s="27"/>
      <c r="C262" s="153" t="s">
        <v>264</v>
      </c>
      <c r="D262" s="170"/>
      <c r="E262" s="170"/>
      <c r="F262" s="170">
        <v>0</v>
      </c>
      <c r="G262" s="170"/>
      <c r="H262" s="170"/>
      <c r="I262" s="170">
        <v>0</v>
      </c>
      <c r="J262" s="170">
        <f>D262-I262</f>
        <v>0</v>
      </c>
      <c r="K262" s="170">
        <f>E262-I262</f>
        <v>0</v>
      </c>
    </row>
    <row r="263" spans="1:11" ht="12.75" hidden="1" customHeight="1">
      <c r="A263" s="80" t="s">
        <v>102</v>
      </c>
      <c r="B263" s="27"/>
      <c r="C263" s="153" t="s">
        <v>265</v>
      </c>
      <c r="D263" s="170"/>
      <c r="E263" s="170"/>
      <c r="F263" s="170">
        <v>0</v>
      </c>
      <c r="G263" s="170"/>
      <c r="H263" s="170"/>
      <c r="I263" s="170">
        <v>0</v>
      </c>
      <c r="J263" s="170">
        <f>D263-I263</f>
        <v>0</v>
      </c>
      <c r="K263" s="170">
        <f>E263-I263</f>
        <v>0</v>
      </c>
    </row>
    <row r="264" spans="1:11" s="26" customFormat="1" ht="13.5" hidden="1" customHeight="1">
      <c r="A264" s="51" t="s">
        <v>145</v>
      </c>
      <c r="B264" s="74"/>
      <c r="C264" s="156"/>
      <c r="D264" s="172">
        <f>SUM(D262:D263)</f>
        <v>0</v>
      </c>
      <c r="E264" s="172">
        <f>SUM(E262:E263)</f>
        <v>0</v>
      </c>
      <c r="F264" s="172">
        <f t="shared" ref="F264" si="168">SUM(F262:F263)</f>
        <v>0</v>
      </c>
      <c r="G264" s="172">
        <f t="shared" ref="G264:K264" si="169">SUM(G262:G263)</f>
        <v>0</v>
      </c>
      <c r="H264" s="172">
        <f t="shared" si="169"/>
        <v>0</v>
      </c>
      <c r="I264" s="172">
        <f t="shared" si="169"/>
        <v>0</v>
      </c>
      <c r="J264" s="172">
        <f t="shared" si="169"/>
        <v>0</v>
      </c>
      <c r="K264" s="172">
        <f t="shared" si="169"/>
        <v>0</v>
      </c>
    </row>
    <row r="265" spans="1:11" s="26" customFormat="1" ht="13.5">
      <c r="A265" s="51"/>
      <c r="B265" s="74"/>
      <c r="C265" s="156"/>
      <c r="D265" s="172"/>
      <c r="E265" s="172"/>
      <c r="F265" s="172"/>
      <c r="G265" s="172"/>
      <c r="H265" s="172"/>
      <c r="I265" s="172"/>
      <c r="J265" s="172"/>
      <c r="K265" s="172"/>
    </row>
    <row r="266" spans="1:11">
      <c r="A266" s="28" t="s">
        <v>166</v>
      </c>
      <c r="B266" s="27"/>
      <c r="C266" s="154" t="s">
        <v>169</v>
      </c>
      <c r="D266" s="173">
        <f t="shared" ref="D266:I266" si="170">D267</f>
        <v>228634.64</v>
      </c>
      <c r="E266" s="173">
        <f t="shared" si="170"/>
        <v>228634.64</v>
      </c>
      <c r="F266" s="173">
        <f t="shared" si="170"/>
        <v>228634.64</v>
      </c>
      <c r="G266" s="173">
        <f t="shared" si="170"/>
        <v>0</v>
      </c>
      <c r="H266" s="173">
        <f t="shared" si="170"/>
        <v>0</v>
      </c>
      <c r="I266" s="173">
        <f t="shared" si="170"/>
        <v>228634.64</v>
      </c>
      <c r="J266" s="173">
        <f>J267</f>
        <v>0</v>
      </c>
      <c r="K266" s="173">
        <f>K267</f>
        <v>0</v>
      </c>
    </row>
    <row r="267" spans="1:11" s="61" customFormat="1" ht="18.75" customHeight="1">
      <c r="A267" s="100" t="s">
        <v>167</v>
      </c>
      <c r="B267" s="60"/>
      <c r="C267" s="154" t="s">
        <v>168</v>
      </c>
      <c r="D267" s="173">
        <f>D268+D269+D272+D273+D274</f>
        <v>228634.64</v>
      </c>
      <c r="E267" s="173">
        <f>E268+E269+E272+E273+E274</f>
        <v>228634.64</v>
      </c>
      <c r="F267" s="173">
        <f t="shared" ref="F267" si="171">F268+F269+F272+F273+F274</f>
        <v>228634.64</v>
      </c>
      <c r="G267" s="173">
        <f t="shared" ref="G267:K267" si="172">G268+G269+G272+G273+G274</f>
        <v>0</v>
      </c>
      <c r="H267" s="173">
        <f t="shared" si="172"/>
        <v>0</v>
      </c>
      <c r="I267" s="173">
        <f t="shared" si="172"/>
        <v>228634.64</v>
      </c>
      <c r="J267" s="173">
        <f t="shared" si="172"/>
        <v>0</v>
      </c>
      <c r="K267" s="173">
        <f t="shared" si="172"/>
        <v>0</v>
      </c>
    </row>
    <row r="268" spans="1:11" s="26" customFormat="1" ht="30" customHeight="1">
      <c r="A268" s="51" t="s">
        <v>144</v>
      </c>
      <c r="B268" s="27"/>
      <c r="C268" s="153" t="s">
        <v>236</v>
      </c>
      <c r="D268" s="170">
        <f>6187.98+146966+23513.57</f>
        <v>176667.55000000002</v>
      </c>
      <c r="E268" s="170">
        <f>6187.98+146966+23513.57</f>
        <v>176667.55000000002</v>
      </c>
      <c r="F268" s="170">
        <f>23513.57+153153.98</f>
        <v>176667.55000000002</v>
      </c>
      <c r="G268" s="170">
        <v>0</v>
      </c>
      <c r="H268" s="170">
        <v>0</v>
      </c>
      <c r="I268" s="170">
        <f>23513.57+153153.98</f>
        <v>176667.55000000002</v>
      </c>
      <c r="J268" s="170">
        <f>D268-I268</f>
        <v>0</v>
      </c>
      <c r="K268" s="170">
        <f>E268-I268</f>
        <v>0</v>
      </c>
    </row>
    <row r="269" spans="1:11" s="26" customFormat="1" ht="30.75" hidden="1" customHeight="1">
      <c r="A269" s="71" t="s">
        <v>24</v>
      </c>
      <c r="B269" s="27"/>
      <c r="C269" s="153" t="s">
        <v>279</v>
      </c>
      <c r="D269" s="170">
        <v>0</v>
      </c>
      <c r="E269" s="170">
        <v>0</v>
      </c>
      <c r="F269" s="170">
        <v>0</v>
      </c>
      <c r="G269" s="170">
        <v>0</v>
      </c>
      <c r="H269" s="170">
        <v>0</v>
      </c>
      <c r="I269" s="170">
        <v>0</v>
      </c>
      <c r="J269" s="170">
        <f>D269-I269</f>
        <v>0</v>
      </c>
      <c r="K269" s="170">
        <f>E269-I269</f>
        <v>0</v>
      </c>
    </row>
    <row r="270" spans="1:11" s="26" customFormat="1" ht="18.75" customHeight="1">
      <c r="A270" s="80" t="s">
        <v>101</v>
      </c>
      <c r="B270" s="27"/>
      <c r="C270" s="153" t="s">
        <v>237</v>
      </c>
      <c r="D270" s="170">
        <f>1365.08+32331+4159.54</f>
        <v>37855.620000000003</v>
      </c>
      <c r="E270" s="170">
        <f>1365.08+32331+4159.54</f>
        <v>37855.620000000003</v>
      </c>
      <c r="F270" s="170">
        <f>4159.54+33696.08</f>
        <v>37855.620000000003</v>
      </c>
      <c r="G270" s="170">
        <v>0</v>
      </c>
      <c r="H270" s="170">
        <v>0</v>
      </c>
      <c r="I270" s="170">
        <f>4159.54+33696.08</f>
        <v>37855.620000000003</v>
      </c>
      <c r="J270" s="170">
        <f>D270-I270</f>
        <v>0</v>
      </c>
      <c r="K270" s="170">
        <f>E270-I270</f>
        <v>0</v>
      </c>
    </row>
    <row r="271" spans="1:11" s="26" customFormat="1" ht="18.75" customHeight="1">
      <c r="A271" s="80" t="s">
        <v>102</v>
      </c>
      <c r="B271" s="27"/>
      <c r="C271" s="153" t="s">
        <v>238</v>
      </c>
      <c r="D271" s="170">
        <f>506.55+12053+1045.37+506.55</f>
        <v>14111.469999999998</v>
      </c>
      <c r="E271" s="170">
        <f>506.55+12053+1045.37+506.55</f>
        <v>14111.469999999998</v>
      </c>
      <c r="F271" s="170">
        <v>14111.47</v>
      </c>
      <c r="G271" s="170">
        <v>0</v>
      </c>
      <c r="H271" s="170">
        <v>0</v>
      </c>
      <c r="I271" s="170">
        <v>14111.47</v>
      </c>
      <c r="J271" s="170">
        <f>D271-I271</f>
        <v>0</v>
      </c>
      <c r="K271" s="170">
        <f>E271-I271</f>
        <v>0</v>
      </c>
    </row>
    <row r="272" spans="1:11" s="26" customFormat="1" ht="27.75" customHeight="1">
      <c r="A272" s="90" t="s">
        <v>261</v>
      </c>
      <c r="B272" s="25"/>
      <c r="C272" s="156"/>
      <c r="D272" s="172">
        <f>SUM(D270:D271)</f>
        <v>51967.09</v>
      </c>
      <c r="E272" s="172">
        <f>SUM(E270:E271)</f>
        <v>51967.09</v>
      </c>
      <c r="F272" s="172">
        <f t="shared" ref="F272" si="173">SUM(F270:F271)</f>
        <v>51967.090000000004</v>
      </c>
      <c r="G272" s="172">
        <f t="shared" ref="G272:K272" si="174">SUM(G270:G271)</f>
        <v>0</v>
      </c>
      <c r="H272" s="172">
        <f t="shared" si="174"/>
        <v>0</v>
      </c>
      <c r="I272" s="172">
        <f t="shared" si="174"/>
        <v>51967.090000000004</v>
      </c>
      <c r="J272" s="172">
        <f t="shared" si="174"/>
        <v>0</v>
      </c>
      <c r="K272" s="172">
        <f t="shared" si="174"/>
        <v>0</v>
      </c>
    </row>
    <row r="273" spans="1:11" ht="15.75" hidden="1" customHeight="1">
      <c r="A273" s="101" t="s">
        <v>17</v>
      </c>
      <c r="B273" s="27"/>
      <c r="C273" s="153" t="s">
        <v>268</v>
      </c>
      <c r="D273" s="170">
        <v>0</v>
      </c>
      <c r="E273" s="170">
        <v>0</v>
      </c>
      <c r="F273" s="170">
        <v>0</v>
      </c>
      <c r="G273" s="170"/>
      <c r="H273" s="170"/>
      <c r="I273" s="170">
        <v>0</v>
      </c>
      <c r="J273" s="170">
        <f>D273-I273</f>
        <v>0</v>
      </c>
      <c r="K273" s="170">
        <f>E273-I273</f>
        <v>0</v>
      </c>
    </row>
    <row r="274" spans="1:11" s="26" customFormat="1" ht="18.75" hidden="1" customHeight="1">
      <c r="A274" s="101" t="s">
        <v>17</v>
      </c>
      <c r="B274" s="25"/>
      <c r="C274" s="153" t="s">
        <v>280</v>
      </c>
      <c r="D274" s="170">
        <v>0</v>
      </c>
      <c r="E274" s="170">
        <v>0</v>
      </c>
      <c r="F274" s="170">
        <v>0</v>
      </c>
      <c r="G274" s="172"/>
      <c r="H274" s="172"/>
      <c r="I274" s="170">
        <v>0</v>
      </c>
      <c r="J274" s="170">
        <f>D274-I274</f>
        <v>0</v>
      </c>
      <c r="K274" s="170">
        <f>E274-I274</f>
        <v>0</v>
      </c>
    </row>
    <row r="275" spans="1:11" s="104" customFormat="1" ht="18.75" customHeight="1">
      <c r="A275" s="102" t="s">
        <v>63</v>
      </c>
      <c r="B275" s="103"/>
      <c r="C275" s="154"/>
      <c r="D275" s="179"/>
      <c r="E275" s="179"/>
      <c r="F275" s="179"/>
      <c r="G275" s="179"/>
      <c r="H275" s="179"/>
      <c r="I275" s="179"/>
      <c r="J275" s="179"/>
      <c r="K275" s="179"/>
    </row>
    <row r="276" spans="1:11">
      <c r="A276" s="91" t="s">
        <v>11</v>
      </c>
      <c r="B276" s="27"/>
      <c r="C276" s="153" t="s">
        <v>64</v>
      </c>
      <c r="D276" s="170">
        <f t="shared" ref="D276:K276" si="175">D19+D47+D116</f>
        <v>1955347.2200000002</v>
      </c>
      <c r="E276" s="170">
        <f t="shared" si="175"/>
        <v>1955347.2200000002</v>
      </c>
      <c r="F276" s="170">
        <f t="shared" ref="F276" si="176">F19+F47+F116</f>
        <v>1955347.2200000002</v>
      </c>
      <c r="G276" s="170">
        <f t="shared" si="175"/>
        <v>0</v>
      </c>
      <c r="H276" s="170">
        <f t="shared" si="175"/>
        <v>0</v>
      </c>
      <c r="I276" s="170">
        <f t="shared" si="175"/>
        <v>1955347.2200000002</v>
      </c>
      <c r="J276" s="170">
        <f t="shared" si="175"/>
        <v>0</v>
      </c>
      <c r="K276" s="170">
        <f t="shared" si="175"/>
        <v>0</v>
      </c>
    </row>
    <row r="277" spans="1:11">
      <c r="A277" s="91" t="s">
        <v>22</v>
      </c>
      <c r="B277" s="27"/>
      <c r="C277" s="153" t="s">
        <v>65</v>
      </c>
      <c r="D277" s="170">
        <f>D48+D182+D80</f>
        <v>1298049.54</v>
      </c>
      <c r="E277" s="170">
        <f t="shared" ref="E277:K277" si="177">E48+E182+E80</f>
        <v>1298049.54</v>
      </c>
      <c r="F277" s="170">
        <f t="shared" ref="F277" si="178">F48+F182+F80</f>
        <v>1288681.96</v>
      </c>
      <c r="G277" s="170">
        <f t="shared" si="177"/>
        <v>0</v>
      </c>
      <c r="H277" s="170">
        <f t="shared" si="177"/>
        <v>0</v>
      </c>
      <c r="I277" s="170">
        <f t="shared" si="177"/>
        <v>1288681.96</v>
      </c>
      <c r="J277" s="170">
        <f t="shared" si="177"/>
        <v>9367.5799999999581</v>
      </c>
      <c r="K277" s="170">
        <f t="shared" si="177"/>
        <v>9367.5799999999581</v>
      </c>
    </row>
    <row r="278" spans="1:11" s="75" customFormat="1" ht="13.5">
      <c r="A278" s="105" t="s">
        <v>81</v>
      </c>
      <c r="B278" s="74"/>
      <c r="C278" s="156"/>
      <c r="D278" s="172">
        <f>SUM(D276:D277)</f>
        <v>3253396.7600000002</v>
      </c>
      <c r="E278" s="172">
        <f>SUM(E276:E277)</f>
        <v>3253396.7600000002</v>
      </c>
      <c r="F278" s="172">
        <f t="shared" ref="F278" si="179">SUM(F276:F277)</f>
        <v>3244029.18</v>
      </c>
      <c r="G278" s="172">
        <f t="shared" ref="G278:K278" si="180">SUM(G276:G277)</f>
        <v>0</v>
      </c>
      <c r="H278" s="172">
        <f t="shared" si="180"/>
        <v>0</v>
      </c>
      <c r="I278" s="172">
        <f t="shared" si="180"/>
        <v>3244029.18</v>
      </c>
      <c r="J278" s="172">
        <f t="shared" si="180"/>
        <v>9367.5799999999581</v>
      </c>
      <c r="K278" s="172">
        <f t="shared" si="180"/>
        <v>9367.5799999999581</v>
      </c>
    </row>
    <row r="279" spans="1:11" ht="38.25">
      <c r="A279" s="91" t="s">
        <v>23</v>
      </c>
      <c r="B279" s="27"/>
      <c r="C279" s="153" t="s">
        <v>66</v>
      </c>
      <c r="D279" s="170">
        <f>D50+D183</f>
        <v>24457.3</v>
      </c>
      <c r="E279" s="170">
        <f t="shared" ref="E279:K279" si="181">E50+E183</f>
        <v>24457.3</v>
      </c>
      <c r="F279" s="170">
        <f t="shared" ref="F279" si="182">F50+F183</f>
        <v>17962.900000000001</v>
      </c>
      <c r="G279" s="170">
        <f t="shared" si="181"/>
        <v>0</v>
      </c>
      <c r="H279" s="170">
        <f t="shared" si="181"/>
        <v>0</v>
      </c>
      <c r="I279" s="170">
        <f t="shared" si="181"/>
        <v>17962.900000000001</v>
      </c>
      <c r="J279" s="170">
        <f t="shared" si="181"/>
        <v>6494.4</v>
      </c>
      <c r="K279" s="170">
        <f t="shared" si="181"/>
        <v>6494.4</v>
      </c>
    </row>
    <row r="280" spans="1:11" ht="39" customHeight="1">
      <c r="A280" s="91" t="s">
        <v>24</v>
      </c>
      <c r="B280" s="27"/>
      <c r="C280" s="153" t="s">
        <v>67</v>
      </c>
      <c r="D280" s="170">
        <f>D51+D118+D184</f>
        <v>16500</v>
      </c>
      <c r="E280" s="170">
        <f>E51+E118+E184</f>
        <v>16500</v>
      </c>
      <c r="F280" s="170">
        <f t="shared" ref="F280" si="183">F51+F118+F184</f>
        <v>8000</v>
      </c>
      <c r="G280" s="170">
        <f t="shared" ref="G280:K280" si="184">G51+G118+G184</f>
        <v>0</v>
      </c>
      <c r="H280" s="170">
        <f t="shared" si="184"/>
        <v>0</v>
      </c>
      <c r="I280" s="170">
        <f t="shared" si="184"/>
        <v>8000</v>
      </c>
      <c r="J280" s="170">
        <f t="shared" si="184"/>
        <v>8500</v>
      </c>
      <c r="K280" s="170">
        <f t="shared" si="184"/>
        <v>8500</v>
      </c>
    </row>
    <row r="281" spans="1:11" ht="30.75" customHeight="1">
      <c r="A281" s="91" t="s">
        <v>17</v>
      </c>
      <c r="B281" s="27"/>
      <c r="C281" s="153" t="s">
        <v>435</v>
      </c>
      <c r="D281" s="170">
        <f>D52</f>
        <v>3095</v>
      </c>
      <c r="E281" s="170">
        <f t="shared" ref="E281:K281" si="185">E52</f>
        <v>3095</v>
      </c>
      <c r="F281" s="170">
        <f t="shared" ref="F281" si="186">F52</f>
        <v>3095</v>
      </c>
      <c r="G281" s="170">
        <f t="shared" si="185"/>
        <v>0</v>
      </c>
      <c r="H281" s="170">
        <f t="shared" si="185"/>
        <v>0</v>
      </c>
      <c r="I281" s="170">
        <f t="shared" si="185"/>
        <v>3095</v>
      </c>
      <c r="J281" s="170">
        <f t="shared" si="185"/>
        <v>0</v>
      </c>
      <c r="K281" s="170">
        <f t="shared" si="185"/>
        <v>0</v>
      </c>
    </row>
    <row r="282" spans="1:11" s="75" customFormat="1" ht="13.5">
      <c r="A282" s="105" t="s">
        <v>82</v>
      </c>
      <c r="B282" s="74"/>
      <c r="C282" s="156"/>
      <c r="D282" s="172">
        <f t="shared" ref="D282:K282" si="187">SUM(D279:D281)</f>
        <v>44052.3</v>
      </c>
      <c r="E282" s="172">
        <f>SUM(E279:E281)</f>
        <v>44052.3</v>
      </c>
      <c r="F282" s="172">
        <f t="shared" ref="F282" si="188">SUM(F279:F281)</f>
        <v>29057.9</v>
      </c>
      <c r="G282" s="172">
        <f t="shared" si="187"/>
        <v>0</v>
      </c>
      <c r="H282" s="172">
        <f t="shared" si="187"/>
        <v>0</v>
      </c>
      <c r="I282" s="172">
        <f t="shared" si="187"/>
        <v>29057.9</v>
      </c>
      <c r="J282" s="172">
        <f t="shared" si="187"/>
        <v>14994.4</v>
      </c>
      <c r="K282" s="172">
        <f t="shared" si="187"/>
        <v>14994.4</v>
      </c>
    </row>
    <row r="283" spans="1:11" ht="25.5">
      <c r="A283" s="80" t="s">
        <v>101</v>
      </c>
      <c r="B283" s="27"/>
      <c r="C283" s="153" t="s">
        <v>68</v>
      </c>
      <c r="D283" s="170">
        <f>D20+D54+D120+D186+D81</f>
        <v>712891.95000000007</v>
      </c>
      <c r="E283" s="170">
        <f t="shared" ref="E283:K283" si="189">E20+E54+E120+E186+E81</f>
        <v>712891.95000000007</v>
      </c>
      <c r="F283" s="170">
        <f t="shared" ref="F283" si="190">F20+F54+F120+F186+F81</f>
        <v>706749.9800000001</v>
      </c>
      <c r="G283" s="170">
        <f t="shared" si="189"/>
        <v>0</v>
      </c>
      <c r="H283" s="170">
        <f t="shared" si="189"/>
        <v>0</v>
      </c>
      <c r="I283" s="170">
        <f t="shared" si="189"/>
        <v>706749.9800000001</v>
      </c>
      <c r="J283" s="170">
        <f t="shared" si="189"/>
        <v>6141.9700000000266</v>
      </c>
      <c r="K283" s="170">
        <f t="shared" si="189"/>
        <v>6141.9700000000266</v>
      </c>
    </row>
    <row r="284" spans="1:11">
      <c r="A284" s="80" t="s">
        <v>102</v>
      </c>
      <c r="B284" s="27"/>
      <c r="C284" s="153" t="s">
        <v>69</v>
      </c>
      <c r="D284" s="170">
        <f>D21+D55+D121+D187+D82</f>
        <v>258623.38999999998</v>
      </c>
      <c r="E284" s="170">
        <f t="shared" ref="E284:K284" si="191">E21+E55+E121+E187+E82</f>
        <v>258623.38999999998</v>
      </c>
      <c r="F284" s="170">
        <f t="shared" ref="F284" si="192">F21+F55+F121+F187+F82</f>
        <v>257841.99999999997</v>
      </c>
      <c r="G284" s="170">
        <f t="shared" si="191"/>
        <v>0</v>
      </c>
      <c r="H284" s="170">
        <f t="shared" si="191"/>
        <v>0</v>
      </c>
      <c r="I284" s="170">
        <f t="shared" si="191"/>
        <v>257841.99999999997</v>
      </c>
      <c r="J284" s="170">
        <f t="shared" si="191"/>
        <v>781.38999999999942</v>
      </c>
      <c r="K284" s="170">
        <f t="shared" si="191"/>
        <v>781.38999999999942</v>
      </c>
    </row>
    <row r="285" spans="1:11" s="75" customFormat="1" ht="13.5">
      <c r="A285" s="105" t="s">
        <v>85</v>
      </c>
      <c r="B285" s="74"/>
      <c r="C285" s="156"/>
      <c r="D285" s="172">
        <f t="shared" ref="D285:K285" si="193">SUM(D283:D284)</f>
        <v>971515.34000000008</v>
      </c>
      <c r="E285" s="172">
        <f>SUM(E283:E284)</f>
        <v>971515.34000000008</v>
      </c>
      <c r="F285" s="172">
        <f t="shared" ref="F285" si="194">SUM(F283:F284)</f>
        <v>964591.9800000001</v>
      </c>
      <c r="G285" s="172">
        <f t="shared" si="193"/>
        <v>0</v>
      </c>
      <c r="H285" s="172">
        <f t="shared" si="193"/>
        <v>0</v>
      </c>
      <c r="I285" s="172">
        <f t="shared" si="193"/>
        <v>964591.9800000001</v>
      </c>
      <c r="J285" s="172">
        <f>SUM(J283:J284)</f>
        <v>6923.360000000026</v>
      </c>
      <c r="K285" s="172">
        <f t="shared" si="193"/>
        <v>6923.360000000026</v>
      </c>
    </row>
    <row r="286" spans="1:11" s="75" customFormat="1" ht="13.5">
      <c r="A286" s="105"/>
      <c r="B286" s="74"/>
      <c r="C286" s="156"/>
      <c r="D286" s="172">
        <f>D287+D288+D292+D294+D295</f>
        <v>2536611.83</v>
      </c>
      <c r="E286" s="172">
        <f>E287+E288+E292+E294+E295</f>
        <v>2536611.83</v>
      </c>
      <c r="F286" s="172">
        <f t="shared" ref="F286" si="195">F287+F288+F292+F294+F295</f>
        <v>2204122.64</v>
      </c>
      <c r="G286" s="172">
        <f t="shared" ref="G286:K286" si="196">G287+G288+G292+G294+G295</f>
        <v>0</v>
      </c>
      <c r="H286" s="172">
        <f t="shared" si="196"/>
        <v>0</v>
      </c>
      <c r="I286" s="172">
        <f t="shared" si="196"/>
        <v>2204122.64</v>
      </c>
      <c r="J286" s="172">
        <f t="shared" si="196"/>
        <v>332489.18999999994</v>
      </c>
      <c r="K286" s="172">
        <f t="shared" si="196"/>
        <v>332489.18999999994</v>
      </c>
    </row>
    <row r="287" spans="1:11">
      <c r="A287" s="91" t="s">
        <v>12</v>
      </c>
      <c r="B287" s="27"/>
      <c r="C287" s="153" t="s">
        <v>256</v>
      </c>
      <c r="D287" s="170">
        <f t="shared" ref="D287:K287" si="197">D62+D193</f>
        <v>39856</v>
      </c>
      <c r="E287" s="170">
        <f t="shared" si="197"/>
        <v>39856</v>
      </c>
      <c r="F287" s="170">
        <f t="shared" ref="F287" si="198">F62+F193</f>
        <v>33076.15</v>
      </c>
      <c r="G287" s="170">
        <f t="shared" si="197"/>
        <v>0</v>
      </c>
      <c r="H287" s="170">
        <f t="shared" si="197"/>
        <v>0</v>
      </c>
      <c r="I287" s="170">
        <f t="shared" si="197"/>
        <v>33076.15</v>
      </c>
      <c r="J287" s="170">
        <f t="shared" si="197"/>
        <v>6779.8499999999985</v>
      </c>
      <c r="K287" s="170">
        <f t="shared" si="197"/>
        <v>6779.8499999999985</v>
      </c>
    </row>
    <row r="288" spans="1:11">
      <c r="A288" s="91" t="s">
        <v>13</v>
      </c>
      <c r="B288" s="27"/>
      <c r="C288" s="153" t="s">
        <v>70</v>
      </c>
      <c r="D288" s="170">
        <f t="shared" ref="D288:K288" si="199">D58+D63+D126+D190</f>
        <v>50978.240000000005</v>
      </c>
      <c r="E288" s="170">
        <f t="shared" si="199"/>
        <v>50978.240000000005</v>
      </c>
      <c r="F288" s="170">
        <f t="shared" ref="F288" si="200">F58+F63+F126+F190</f>
        <v>39764.400000000001</v>
      </c>
      <c r="G288" s="170">
        <f t="shared" si="199"/>
        <v>0</v>
      </c>
      <c r="H288" s="170">
        <f t="shared" si="199"/>
        <v>0</v>
      </c>
      <c r="I288" s="170">
        <f t="shared" si="199"/>
        <v>39764.400000000001</v>
      </c>
      <c r="J288" s="170">
        <f t="shared" si="199"/>
        <v>11213.84</v>
      </c>
      <c r="K288" s="170">
        <f t="shared" si="199"/>
        <v>11213.84</v>
      </c>
    </row>
    <row r="289" spans="1:11" ht="25.5">
      <c r="A289" s="91" t="s">
        <v>29</v>
      </c>
      <c r="B289" s="27"/>
      <c r="C289" s="153" t="s">
        <v>71</v>
      </c>
      <c r="D289" s="170">
        <f>D64</f>
        <v>1146359.43</v>
      </c>
      <c r="E289" s="170">
        <f>E64</f>
        <v>1146359.43</v>
      </c>
      <c r="F289" s="170">
        <f t="shared" ref="F289" si="201">F64</f>
        <v>889951.48</v>
      </c>
      <c r="G289" s="170">
        <f t="shared" ref="G289:K289" si="202">G64</f>
        <v>0</v>
      </c>
      <c r="H289" s="170">
        <f t="shared" si="202"/>
        <v>0</v>
      </c>
      <c r="I289" s="170">
        <f t="shared" si="202"/>
        <v>889951.48</v>
      </c>
      <c r="J289" s="170">
        <f t="shared" si="202"/>
        <v>256407.94999999995</v>
      </c>
      <c r="K289" s="170">
        <f t="shared" si="202"/>
        <v>256407.94999999995</v>
      </c>
    </row>
    <row r="290" spans="1:11">
      <c r="A290" s="91" t="s">
        <v>25</v>
      </c>
      <c r="B290" s="27"/>
      <c r="C290" s="153" t="s">
        <v>72</v>
      </c>
      <c r="D290" s="170">
        <f t="shared" ref="D290:K290" si="203">D65+D168</f>
        <v>497943.67</v>
      </c>
      <c r="E290" s="170">
        <f t="shared" si="203"/>
        <v>497943.67</v>
      </c>
      <c r="F290" s="170">
        <f t="shared" ref="F290" si="204">F65+F168</f>
        <v>469708.33999999997</v>
      </c>
      <c r="G290" s="170">
        <f t="shared" si="203"/>
        <v>0</v>
      </c>
      <c r="H290" s="170">
        <f t="shared" si="203"/>
        <v>0</v>
      </c>
      <c r="I290" s="170">
        <f t="shared" si="203"/>
        <v>469708.33999999997</v>
      </c>
      <c r="J290" s="170">
        <f t="shared" si="203"/>
        <v>28235.329999999987</v>
      </c>
      <c r="K290" s="170">
        <f t="shared" si="203"/>
        <v>28235.329999999987</v>
      </c>
    </row>
    <row r="291" spans="1:11">
      <c r="A291" s="91" t="s">
        <v>26</v>
      </c>
      <c r="B291" s="27"/>
      <c r="C291" s="153" t="s">
        <v>73</v>
      </c>
      <c r="D291" s="170">
        <f t="shared" ref="D291:K291" si="205">D66</f>
        <v>13978</v>
      </c>
      <c r="E291" s="170">
        <f>E66</f>
        <v>13978</v>
      </c>
      <c r="F291" s="170">
        <f t="shared" ref="F291" si="206">F66</f>
        <v>12901.37</v>
      </c>
      <c r="G291" s="170">
        <f t="shared" si="205"/>
        <v>0</v>
      </c>
      <c r="H291" s="170">
        <f t="shared" si="205"/>
        <v>0</v>
      </c>
      <c r="I291" s="170">
        <f t="shared" si="205"/>
        <v>12901.37</v>
      </c>
      <c r="J291" s="170">
        <f t="shared" si="205"/>
        <v>1076.6299999999992</v>
      </c>
      <c r="K291" s="170">
        <f t="shared" si="205"/>
        <v>1076.6299999999992</v>
      </c>
    </row>
    <row r="292" spans="1:11" s="75" customFormat="1" ht="13.5">
      <c r="A292" s="105" t="s">
        <v>83</v>
      </c>
      <c r="B292" s="74"/>
      <c r="C292" s="156"/>
      <c r="D292" s="172">
        <f t="shared" ref="D292:K292" si="207">SUM(D289:D291)</f>
        <v>1658281.0999999999</v>
      </c>
      <c r="E292" s="172">
        <f>SUM(E289:E291)</f>
        <v>1658281.0999999999</v>
      </c>
      <c r="F292" s="172">
        <f>SUM(F289:F291)</f>
        <v>1372561.19</v>
      </c>
      <c r="G292" s="172">
        <f>SUM(G289:G291)</f>
        <v>0</v>
      </c>
      <c r="H292" s="172">
        <f>SUM(H289:H291)</f>
        <v>0</v>
      </c>
      <c r="I292" s="172">
        <f>SUM(I289:I291)</f>
        <v>1372561.19</v>
      </c>
      <c r="J292" s="172">
        <f t="shared" si="207"/>
        <v>285719.90999999992</v>
      </c>
      <c r="K292" s="172">
        <f t="shared" si="207"/>
        <v>285719.90999999992</v>
      </c>
    </row>
    <row r="293" spans="1:11" s="107" customFormat="1" ht="12.75" hidden="1" customHeight="1">
      <c r="A293" s="91" t="s">
        <v>16</v>
      </c>
      <c r="B293" s="106"/>
      <c r="C293" s="153" t="s">
        <v>105</v>
      </c>
      <c r="D293" s="170"/>
      <c r="E293" s="170"/>
      <c r="F293" s="170"/>
      <c r="G293" s="170"/>
      <c r="H293" s="170"/>
      <c r="I293" s="170"/>
      <c r="J293" s="170"/>
      <c r="K293" s="170"/>
    </row>
    <row r="294" spans="1:11">
      <c r="A294" s="91" t="s">
        <v>15</v>
      </c>
      <c r="B294" s="27"/>
      <c r="C294" s="153" t="s">
        <v>74</v>
      </c>
      <c r="D294" s="170">
        <f t="shared" ref="D294:K294" si="208">D68+D128+D151+D153+D194+D155+D177</f>
        <v>364439.29000000004</v>
      </c>
      <c r="E294" s="170">
        <f t="shared" si="208"/>
        <v>364439.29000000004</v>
      </c>
      <c r="F294" s="170">
        <f t="shared" ref="F294" si="209">F68+F128+F151+F153+F194+F155+F177</f>
        <v>348146.32</v>
      </c>
      <c r="G294" s="170">
        <f t="shared" si="208"/>
        <v>0</v>
      </c>
      <c r="H294" s="170">
        <f t="shared" si="208"/>
        <v>0</v>
      </c>
      <c r="I294" s="170">
        <f t="shared" si="208"/>
        <v>348146.32</v>
      </c>
      <c r="J294" s="170">
        <f t="shared" si="208"/>
        <v>16292.970000000001</v>
      </c>
      <c r="K294" s="170">
        <f t="shared" si="208"/>
        <v>16292.970000000001</v>
      </c>
    </row>
    <row r="295" spans="1:11">
      <c r="A295" s="91" t="s">
        <v>16</v>
      </c>
      <c r="B295" s="27"/>
      <c r="C295" s="153" t="s">
        <v>255</v>
      </c>
      <c r="D295" s="170">
        <f t="shared" ref="D295:K295" si="210">D59+D69+D89+D124+D130+D140+D141+D152+D154+D156+D169+D172+D174+D175+D191+D195</f>
        <v>423057.20000000007</v>
      </c>
      <c r="E295" s="170">
        <f t="shared" si="210"/>
        <v>423057.20000000007</v>
      </c>
      <c r="F295" s="170">
        <f t="shared" ref="F295" si="211">F59+F69+F89+F124+F130+F140+F141+F152+F154+F156+F169+F172+F174+F175+F191+F195</f>
        <v>410574.58</v>
      </c>
      <c r="G295" s="170">
        <f t="shared" si="210"/>
        <v>0</v>
      </c>
      <c r="H295" s="170">
        <f t="shared" si="210"/>
        <v>0</v>
      </c>
      <c r="I295" s="170">
        <f t="shared" si="210"/>
        <v>410574.58</v>
      </c>
      <c r="J295" s="170">
        <f t="shared" si="210"/>
        <v>12482.620000000024</v>
      </c>
      <c r="K295" s="170">
        <f t="shared" si="210"/>
        <v>12482.620000000024</v>
      </c>
    </row>
    <row r="296" spans="1:11" ht="25.5">
      <c r="A296" s="71" t="s">
        <v>19</v>
      </c>
      <c r="B296" s="27"/>
      <c r="C296" s="153" t="s">
        <v>79</v>
      </c>
      <c r="D296" s="170">
        <f>D93</f>
        <v>5402</v>
      </c>
      <c r="E296" s="170">
        <f t="shared" ref="E296:K296" si="212">E93</f>
        <v>5402</v>
      </c>
      <c r="F296" s="170">
        <f t="shared" ref="F296" si="213">F93</f>
        <v>5402</v>
      </c>
      <c r="G296" s="170">
        <f t="shared" si="212"/>
        <v>0</v>
      </c>
      <c r="H296" s="170">
        <f t="shared" si="212"/>
        <v>0</v>
      </c>
      <c r="I296" s="170">
        <f t="shared" si="212"/>
        <v>5402</v>
      </c>
      <c r="J296" s="170">
        <f t="shared" si="212"/>
        <v>0</v>
      </c>
      <c r="K296" s="170">
        <f t="shared" si="212"/>
        <v>0</v>
      </c>
    </row>
    <row r="297" spans="1:11">
      <c r="A297" s="91" t="s">
        <v>17</v>
      </c>
      <c r="B297" s="27"/>
      <c r="C297" s="153" t="s">
        <v>75</v>
      </c>
      <c r="D297" s="170">
        <f t="shared" ref="D297:E297" si="214">D70+D107+D77+D76+D95</f>
        <v>95986.64</v>
      </c>
      <c r="E297" s="170">
        <f t="shared" si="214"/>
        <v>95986.64</v>
      </c>
      <c r="F297" s="170">
        <f>F70+F107+F77+F76+F95</f>
        <v>88957.74</v>
      </c>
      <c r="G297" s="170">
        <f t="shared" ref="G297:K297" si="215">G70+G107+G77+G76</f>
        <v>0</v>
      </c>
      <c r="H297" s="170">
        <f t="shared" si="215"/>
        <v>0</v>
      </c>
      <c r="I297" s="170">
        <f>I70+I107+I77+I76+I95</f>
        <v>88957.74</v>
      </c>
      <c r="J297" s="170">
        <f t="shared" si="215"/>
        <v>7028.9</v>
      </c>
      <c r="K297" s="170">
        <f t="shared" si="215"/>
        <v>7028.9</v>
      </c>
    </row>
    <row r="298" spans="1:11">
      <c r="A298" s="91" t="s">
        <v>18</v>
      </c>
      <c r="B298" s="27"/>
      <c r="C298" s="153" t="s">
        <v>76</v>
      </c>
      <c r="D298" s="170">
        <f>D132+D72+D196</f>
        <v>266917.36</v>
      </c>
      <c r="E298" s="170">
        <f t="shared" ref="E298:K298" si="216">E132+E72+E196</f>
        <v>266917.36</v>
      </c>
      <c r="F298" s="170">
        <f t="shared" ref="F298" si="217">F132+F72+F196</f>
        <v>265131</v>
      </c>
      <c r="G298" s="170">
        <f t="shared" si="216"/>
        <v>0</v>
      </c>
      <c r="H298" s="170">
        <f t="shared" si="216"/>
        <v>0</v>
      </c>
      <c r="I298" s="170">
        <f t="shared" si="216"/>
        <v>265131</v>
      </c>
      <c r="J298" s="170">
        <f t="shared" si="216"/>
        <v>1786.359999999986</v>
      </c>
      <c r="K298" s="170">
        <f t="shared" si="216"/>
        <v>1786.359999999986</v>
      </c>
    </row>
    <row r="299" spans="1:11" ht="25.5">
      <c r="A299" s="91" t="s">
        <v>28</v>
      </c>
      <c r="B299" s="27"/>
      <c r="C299" s="153" t="s">
        <v>77</v>
      </c>
      <c r="D299" s="170">
        <f>D73</f>
        <v>137509</v>
      </c>
      <c r="E299" s="170">
        <f>E73</f>
        <v>137509</v>
      </c>
      <c r="F299" s="170">
        <f t="shared" ref="F299" si="218">F73</f>
        <v>130604.59</v>
      </c>
      <c r="G299" s="170">
        <f t="shared" ref="G299:K299" si="219">G73</f>
        <v>0</v>
      </c>
      <c r="H299" s="170">
        <f t="shared" si="219"/>
        <v>0</v>
      </c>
      <c r="I299" s="170">
        <f t="shared" si="219"/>
        <v>130604.59</v>
      </c>
      <c r="J299" s="170">
        <f>J73</f>
        <v>6904.4100000000035</v>
      </c>
      <c r="K299" s="170">
        <f t="shared" si="219"/>
        <v>6904.4100000000035</v>
      </c>
    </row>
    <row r="300" spans="1:11" ht="25.5">
      <c r="A300" s="108" t="s">
        <v>27</v>
      </c>
      <c r="B300" s="27"/>
      <c r="C300" s="153" t="s">
        <v>78</v>
      </c>
      <c r="D300" s="170">
        <f>D74+D111+D133+D197+D171+D157</f>
        <v>122112.2</v>
      </c>
      <c r="E300" s="170">
        <f t="shared" ref="E300:K300" si="220">E74+E111+E133+E197+E171+E157</f>
        <v>122112.2</v>
      </c>
      <c r="F300" s="170">
        <f t="shared" ref="F300" si="221">F74+F111+F133+F197+F171+F157</f>
        <v>97844.2</v>
      </c>
      <c r="G300" s="170">
        <f t="shared" si="220"/>
        <v>0</v>
      </c>
      <c r="H300" s="170">
        <f t="shared" si="220"/>
        <v>0</v>
      </c>
      <c r="I300" s="170">
        <f t="shared" si="220"/>
        <v>97844.2</v>
      </c>
      <c r="J300" s="170">
        <f t="shared" si="220"/>
        <v>24267.999999999993</v>
      </c>
      <c r="K300" s="170">
        <f t="shared" si="220"/>
        <v>24267.999999999993</v>
      </c>
    </row>
    <row r="301" spans="1:11" s="75" customFormat="1" ht="13.5">
      <c r="A301" s="105" t="s">
        <v>84</v>
      </c>
      <c r="B301" s="74"/>
      <c r="C301" s="156"/>
      <c r="D301" s="172">
        <f>SUM(D299:D300)</f>
        <v>259621.2</v>
      </c>
      <c r="E301" s="172">
        <f>SUM(E299:E300)</f>
        <v>259621.2</v>
      </c>
      <c r="F301" s="172">
        <f t="shared" ref="F301" si="222">SUM(F299:F300)</f>
        <v>228448.78999999998</v>
      </c>
      <c r="G301" s="172">
        <f t="shared" ref="G301:K301" si="223">SUM(G299:G300)</f>
        <v>0</v>
      </c>
      <c r="H301" s="172">
        <f t="shared" si="223"/>
        <v>0</v>
      </c>
      <c r="I301" s="172">
        <f t="shared" si="223"/>
        <v>228448.78999999998</v>
      </c>
      <c r="J301" s="172">
        <f t="shared" si="223"/>
        <v>31172.409999999996</v>
      </c>
      <c r="K301" s="172">
        <f t="shared" si="223"/>
        <v>31172.409999999996</v>
      </c>
    </row>
    <row r="302" spans="1:11" s="75" customFormat="1" ht="13.5">
      <c r="A302" s="105"/>
      <c r="B302" s="74"/>
      <c r="C302" s="156" t="s">
        <v>104</v>
      </c>
      <c r="D302" s="172">
        <f t="shared" ref="D302:K302" si="224">D267+D199</f>
        <v>2523623.56</v>
      </c>
      <c r="E302" s="172">
        <f t="shared" si="224"/>
        <v>2523623.56</v>
      </c>
      <c r="F302" s="172">
        <f t="shared" ref="F302" si="225">F267+F199</f>
        <v>2482895.98</v>
      </c>
      <c r="G302" s="172">
        <f t="shared" si="224"/>
        <v>0</v>
      </c>
      <c r="H302" s="172">
        <f t="shared" si="224"/>
        <v>0</v>
      </c>
      <c r="I302" s="172">
        <f t="shared" si="224"/>
        <v>2482895.98</v>
      </c>
      <c r="J302" s="172">
        <f t="shared" si="224"/>
        <v>40727.580000000031</v>
      </c>
      <c r="K302" s="172">
        <f t="shared" si="224"/>
        <v>40727.580000000031</v>
      </c>
    </row>
    <row r="303" spans="1:11" s="75" customFormat="1" ht="13.5">
      <c r="A303" s="105"/>
      <c r="B303" s="74"/>
      <c r="C303" s="156" t="s">
        <v>461</v>
      </c>
      <c r="D303" s="172">
        <f>D163</f>
        <v>9000</v>
      </c>
      <c r="E303" s="172">
        <f t="shared" ref="E303:K303" si="226">E163</f>
        <v>9000</v>
      </c>
      <c r="F303" s="172">
        <f t="shared" ref="F303" si="227">F163</f>
        <v>9000</v>
      </c>
      <c r="G303" s="172">
        <f t="shared" si="226"/>
        <v>0</v>
      </c>
      <c r="H303" s="172">
        <f t="shared" si="226"/>
        <v>0</v>
      </c>
      <c r="I303" s="172">
        <f t="shared" si="226"/>
        <v>9000</v>
      </c>
      <c r="J303" s="172">
        <f t="shared" si="226"/>
        <v>0</v>
      </c>
      <c r="K303" s="172">
        <f t="shared" si="226"/>
        <v>0</v>
      </c>
    </row>
    <row r="304" spans="1:11" s="110" customFormat="1" ht="24" customHeight="1">
      <c r="A304" s="109" t="s">
        <v>20</v>
      </c>
      <c r="B304" s="87"/>
      <c r="C304" s="154"/>
      <c r="D304" s="173">
        <f>D278+D282+D285+D286+D296+D297+D298+D301+D302+D303</f>
        <v>9966126.9900000002</v>
      </c>
      <c r="E304" s="173">
        <f>E278+E282+E285+E286+E296+E297+E298+E301+E302+E303</f>
        <v>9966126.9900000002</v>
      </c>
      <c r="F304" s="173">
        <f t="shared" ref="F304" si="228">F278+F282+F285+F286+F296+F297+F298+F301+F302+F303</f>
        <v>9521637.2100000009</v>
      </c>
      <c r="G304" s="173">
        <f t="shared" ref="G304:K304" si="229">G278+G282+G285+G286+G296+G297+G298+G301+G302+G303</f>
        <v>0</v>
      </c>
      <c r="H304" s="173">
        <f t="shared" si="229"/>
        <v>0</v>
      </c>
      <c r="I304" s="173">
        <f t="shared" si="229"/>
        <v>9521637.2100000009</v>
      </c>
      <c r="J304" s="173">
        <f t="shared" si="229"/>
        <v>444489.77999999991</v>
      </c>
      <c r="K304" s="173">
        <f t="shared" si="229"/>
        <v>444489.77999999991</v>
      </c>
    </row>
    <row r="305" spans="1:11" ht="25.5">
      <c r="A305" s="71" t="s">
        <v>494</v>
      </c>
      <c r="B305" s="27">
        <v>450</v>
      </c>
      <c r="C305" s="153" t="s">
        <v>44</v>
      </c>
      <c r="D305" s="170" t="s">
        <v>44</v>
      </c>
      <c r="E305" s="170" t="s">
        <v>44</v>
      </c>
      <c r="F305" s="170">
        <f>доходы!E18-'Расходы бюджета'!F304</f>
        <v>391013.48999999836</v>
      </c>
      <c r="G305" s="170">
        <v>0</v>
      </c>
      <c r="H305" s="170">
        <v>0</v>
      </c>
      <c r="I305" s="170">
        <f>доходы!H18-'Расходы бюджета'!I304</f>
        <v>391013.48999999836</v>
      </c>
      <c r="J305" s="170" t="s">
        <v>44</v>
      </c>
      <c r="K305" s="170" t="s">
        <v>44</v>
      </c>
    </row>
  </sheetData>
  <mergeCells count="7">
    <mergeCell ref="E11:E12"/>
    <mergeCell ref="J11:K11"/>
    <mergeCell ref="A11:A12"/>
    <mergeCell ref="B11:B12"/>
    <mergeCell ref="C11:C12"/>
    <mergeCell ref="D11:D12"/>
    <mergeCell ref="F11:I11"/>
  </mergeCells>
  <phoneticPr fontId="0" type="noConversion"/>
  <pageMargins left="0.39370078740157483" right="0.19685039370078741" top="0.39370078740157483" bottom="0.39370078740157483" header="0.19685039370078741" footer="0"/>
  <pageSetup paperSize="9" scale="78" fitToHeight="0" orientation="landscape" r:id="rId1"/>
  <headerFooter alignWithMargins="0">
    <oddFooter>&amp;RСтраница &amp;P из &amp;N</oddFooter>
  </headerFooter>
  <rowBreaks count="3" manualBreakCount="3">
    <brk id="60" max="16383" man="1"/>
    <brk id="198" max="16383" man="1"/>
    <brk id="264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view="pageBreakPreview" topLeftCell="A8" zoomScaleSheetLayoutView="100" workbookViewId="0">
      <selection activeCell="F11" sqref="F11"/>
    </sheetView>
  </sheetViews>
  <sheetFormatPr defaultRowHeight="12.75"/>
  <cols>
    <col min="1" max="1" width="32.85546875" style="2" customWidth="1"/>
    <col min="2" max="2" width="6.5703125" style="3" customWidth="1"/>
    <col min="3" max="3" width="25.7109375" style="1" customWidth="1"/>
    <col min="4" max="4" width="15.7109375" style="4" customWidth="1"/>
    <col min="5" max="5" width="14.28515625" style="4" customWidth="1"/>
    <col min="6" max="7" width="9.140625" style="4"/>
    <col min="8" max="8" width="12.140625" style="4" customWidth="1"/>
    <col min="9" max="9" width="16" style="4" customWidth="1"/>
    <col min="10" max="10" width="11.28515625" bestFit="1" customWidth="1"/>
  </cols>
  <sheetData>
    <row r="1" spans="1:11" s="6" customFormat="1" ht="30" hidden="1" customHeight="1">
      <c r="C1" s="6" t="s">
        <v>0</v>
      </c>
    </row>
    <row r="2" spans="1:11" s="6" customFormat="1" hidden="1">
      <c r="A2" s="7"/>
      <c r="B2" s="7"/>
      <c r="C2" s="7"/>
      <c r="D2" s="7"/>
      <c r="E2" s="7"/>
      <c r="F2" s="7"/>
      <c r="G2" s="7"/>
      <c r="H2" s="7"/>
      <c r="I2" s="7"/>
    </row>
    <row r="3" spans="1:11" s="6" customFormat="1" hidden="1">
      <c r="A3" s="7"/>
      <c r="B3" s="7"/>
      <c r="C3" s="7" t="s">
        <v>1</v>
      </c>
      <c r="D3" s="7"/>
      <c r="E3" s="7"/>
      <c r="F3" s="7"/>
      <c r="G3" s="7"/>
      <c r="H3" s="7"/>
      <c r="I3" s="7"/>
    </row>
    <row r="4" spans="1:11" s="6" customFormat="1" hidden="1">
      <c r="A4" s="7"/>
      <c r="B4" s="7"/>
      <c r="C4" s="7"/>
      <c r="D4" s="7"/>
      <c r="E4" s="7"/>
      <c r="F4" s="7"/>
      <c r="G4" s="7"/>
      <c r="H4" s="7"/>
      <c r="I4" s="7"/>
    </row>
    <row r="5" spans="1:11" s="6" customFormat="1" hidden="1">
      <c r="A5" s="7"/>
      <c r="B5" s="7"/>
      <c r="C5" s="7"/>
      <c r="D5" s="7"/>
      <c r="E5" s="7"/>
      <c r="F5" s="7"/>
      <c r="G5" s="7"/>
      <c r="H5" s="7"/>
      <c r="I5" s="7"/>
    </row>
    <row r="6" spans="1:11" s="6" customFormat="1" hidden="1">
      <c r="A6" s="7" t="s">
        <v>2</v>
      </c>
      <c r="B6" s="7"/>
      <c r="C6" s="7"/>
      <c r="D6" s="7"/>
      <c r="E6" s="7"/>
      <c r="F6" s="7"/>
      <c r="G6" s="7"/>
      <c r="H6" s="7"/>
      <c r="I6" s="7"/>
    </row>
    <row r="7" spans="1:11" s="6" customFormat="1" hidden="1">
      <c r="A7" s="7" t="s">
        <v>3</v>
      </c>
      <c r="B7" s="7"/>
      <c r="C7" s="7"/>
      <c r="D7" s="7"/>
      <c r="E7" s="7"/>
      <c r="F7" s="7"/>
      <c r="G7" s="7"/>
      <c r="H7" s="7"/>
      <c r="I7" s="7"/>
    </row>
    <row r="8" spans="1:11" s="6" customFormat="1">
      <c r="A8" s="7"/>
      <c r="B8" s="7"/>
      <c r="C8" s="7"/>
      <c r="D8" s="7"/>
      <c r="E8" s="7"/>
      <c r="F8" s="7"/>
      <c r="G8" s="7"/>
      <c r="I8" s="9" t="s">
        <v>277</v>
      </c>
    </row>
    <row r="9" spans="1:11" s="6" customFormat="1">
      <c r="A9" s="184" t="s">
        <v>33</v>
      </c>
      <c r="B9" s="184"/>
      <c r="C9" s="184"/>
      <c r="D9" s="184"/>
      <c r="E9" s="184"/>
      <c r="F9" s="184"/>
      <c r="G9" s="140"/>
      <c r="H9" s="140"/>
      <c r="I9" s="20"/>
    </row>
    <row r="10" spans="1:11" s="5" customFormat="1">
      <c r="A10" s="141" t="s">
        <v>34</v>
      </c>
      <c r="B10" s="143" t="s">
        <v>35</v>
      </c>
      <c r="C10" s="141" t="s">
        <v>504</v>
      </c>
      <c r="D10" s="145" t="s">
        <v>36</v>
      </c>
      <c r="E10" s="139" t="s">
        <v>5</v>
      </c>
      <c r="F10" s="139"/>
      <c r="G10" s="139"/>
      <c r="H10" s="139"/>
      <c r="I10" s="139" t="s">
        <v>6</v>
      </c>
    </row>
    <row r="11" spans="1:11" s="8" customFormat="1" ht="46.5" customHeight="1">
      <c r="A11" s="142"/>
      <c r="B11" s="144"/>
      <c r="C11" s="142"/>
      <c r="D11" s="146"/>
      <c r="E11" s="121" t="s">
        <v>37</v>
      </c>
      <c r="F11" s="121" t="s">
        <v>38</v>
      </c>
      <c r="G11" s="121" t="s">
        <v>39</v>
      </c>
      <c r="H11" s="121" t="s">
        <v>40</v>
      </c>
      <c r="I11" s="139"/>
    </row>
    <row r="12" spans="1:11" s="8" customFormat="1" ht="11.25">
      <c r="A12" s="17" t="s">
        <v>41</v>
      </c>
      <c r="B12" s="18">
        <v>2</v>
      </c>
      <c r="C12" s="18" t="s">
        <v>42</v>
      </c>
      <c r="D12" s="18">
        <v>4</v>
      </c>
      <c r="E12" s="18">
        <v>5</v>
      </c>
      <c r="F12" s="18">
        <v>6</v>
      </c>
      <c r="G12" s="18">
        <v>7</v>
      </c>
      <c r="H12" s="18">
        <v>8</v>
      </c>
      <c r="I12" s="18">
        <v>9</v>
      </c>
    </row>
    <row r="13" spans="1:11" s="8" customFormat="1" ht="33.75" customHeight="1">
      <c r="A13" s="189" t="s">
        <v>43</v>
      </c>
      <c r="B13" s="188">
        <v>500</v>
      </c>
      <c r="C13" s="11"/>
      <c r="D13" s="190">
        <f>D23-D24</f>
        <v>-53250.990000000224</v>
      </c>
      <c r="E13" s="190">
        <f>(E23)+E24</f>
        <v>-391013.48999999836</v>
      </c>
      <c r="F13" s="191">
        <v>0</v>
      </c>
      <c r="G13" s="191">
        <v>0</v>
      </c>
      <c r="H13" s="190">
        <v>-391013.49</v>
      </c>
      <c r="I13" s="191">
        <f>D13+E13</f>
        <v>-444264.47999999858</v>
      </c>
    </row>
    <row r="14" spans="1:11">
      <c r="A14" s="13" t="s">
        <v>46</v>
      </c>
      <c r="B14" s="10"/>
      <c r="C14" s="11"/>
      <c r="D14" s="19"/>
      <c r="E14" s="12"/>
      <c r="F14" s="12"/>
      <c r="G14" s="12"/>
      <c r="H14" s="12"/>
      <c r="I14" s="12"/>
      <c r="J14" s="21"/>
    </row>
    <row r="15" spans="1:11" ht="22.5">
      <c r="A15" s="13" t="s">
        <v>47</v>
      </c>
      <c r="B15" s="10">
        <v>520</v>
      </c>
      <c r="C15" s="11" t="s">
        <v>44</v>
      </c>
      <c r="D15" s="19" t="s">
        <v>45</v>
      </c>
      <c r="E15" s="12"/>
      <c r="F15" s="12">
        <v>0</v>
      </c>
      <c r="G15" s="12">
        <v>0</v>
      </c>
      <c r="H15" s="12"/>
      <c r="I15" s="12">
        <v>0</v>
      </c>
      <c r="J15" s="22"/>
      <c r="K15" s="23"/>
    </row>
    <row r="16" spans="1:11">
      <c r="A16" s="13" t="s">
        <v>48</v>
      </c>
      <c r="B16" s="10"/>
      <c r="C16" s="11"/>
      <c r="D16" s="19"/>
      <c r="E16" s="12"/>
      <c r="F16" s="12"/>
      <c r="G16" s="12"/>
      <c r="H16" s="12"/>
      <c r="I16" s="12"/>
      <c r="J16" s="21"/>
    </row>
    <row r="17" spans="1:10" ht="22.5">
      <c r="A17" s="13" t="s">
        <v>49</v>
      </c>
      <c r="B17" s="10">
        <v>620</v>
      </c>
      <c r="C17" s="11" t="s">
        <v>44</v>
      </c>
      <c r="D17" s="19" t="s">
        <v>45</v>
      </c>
      <c r="E17" s="12"/>
      <c r="F17" s="12">
        <v>0</v>
      </c>
      <c r="G17" s="12">
        <v>0</v>
      </c>
      <c r="H17" s="12"/>
      <c r="I17" s="12">
        <v>0</v>
      </c>
      <c r="J17" s="24"/>
    </row>
    <row r="18" spans="1:10">
      <c r="A18" s="13" t="s">
        <v>50</v>
      </c>
      <c r="B18" s="10"/>
      <c r="C18" s="11"/>
      <c r="D18" s="19"/>
      <c r="E18" s="12"/>
      <c r="F18" s="12"/>
      <c r="G18" s="12"/>
      <c r="H18" s="12"/>
      <c r="I18" s="12"/>
    </row>
    <row r="19" spans="1:10">
      <c r="A19" s="13" t="s">
        <v>51</v>
      </c>
      <c r="B19" s="10">
        <v>700</v>
      </c>
      <c r="C19" s="11"/>
      <c r="D19" s="19" t="s">
        <v>45</v>
      </c>
      <c r="E19" s="12"/>
      <c r="F19" s="12">
        <v>0</v>
      </c>
      <c r="G19" s="12">
        <v>0</v>
      </c>
      <c r="H19" s="12"/>
      <c r="I19" s="12" t="s">
        <v>44</v>
      </c>
    </row>
    <row r="20" spans="1:10" ht="22.5">
      <c r="A20" s="13" t="s">
        <v>52</v>
      </c>
      <c r="B20" s="10">
        <v>800</v>
      </c>
      <c r="C20" s="11" t="s">
        <v>44</v>
      </c>
      <c r="D20" s="19" t="s">
        <v>44</v>
      </c>
      <c r="E20" s="12"/>
      <c r="F20" s="12">
        <v>0</v>
      </c>
      <c r="G20" s="12">
        <v>0</v>
      </c>
      <c r="H20" s="12"/>
      <c r="I20" s="12" t="s">
        <v>44</v>
      </c>
    </row>
    <row r="21" spans="1:10" ht="45">
      <c r="A21" s="13" t="s">
        <v>53</v>
      </c>
      <c r="B21" s="10">
        <v>810</v>
      </c>
      <c r="C21" s="11" t="s">
        <v>44</v>
      </c>
      <c r="D21" s="19" t="s">
        <v>44</v>
      </c>
      <c r="E21" s="19">
        <f>E23+E24</f>
        <v>-391013.48999999836</v>
      </c>
      <c r="F21" s="12">
        <v>0</v>
      </c>
      <c r="G21" s="12" t="s">
        <v>44</v>
      </c>
      <c r="H21" s="19">
        <v>-391013.49</v>
      </c>
      <c r="I21" s="12" t="s">
        <v>44</v>
      </c>
    </row>
    <row r="22" spans="1:10">
      <c r="A22" s="13" t="s">
        <v>48</v>
      </c>
      <c r="B22" s="10"/>
      <c r="C22" s="11"/>
      <c r="D22" s="19"/>
      <c r="E22" s="12"/>
      <c r="F22" s="12"/>
      <c r="G22" s="12"/>
      <c r="H22" s="12"/>
      <c r="I22" s="12"/>
    </row>
    <row r="23" spans="1:10" ht="29.25" customHeight="1">
      <c r="A23" s="13" t="s">
        <v>54</v>
      </c>
      <c r="B23" s="10">
        <v>811</v>
      </c>
      <c r="C23" s="11" t="s">
        <v>273</v>
      </c>
      <c r="D23" s="19">
        <f>доходы!D18</f>
        <v>9912876</v>
      </c>
      <c r="E23" s="19">
        <f>-доходы!E18</f>
        <v>-9912650.6999999993</v>
      </c>
      <c r="F23" s="12" t="s">
        <v>44</v>
      </c>
      <c r="G23" s="12" t="s">
        <v>44</v>
      </c>
      <c r="H23" s="19">
        <f>-доходы!H18</f>
        <v>-9912650.6999999993</v>
      </c>
      <c r="I23" s="12" t="s">
        <v>44</v>
      </c>
    </row>
    <row r="24" spans="1:10" ht="22.5">
      <c r="A24" s="13" t="s">
        <v>55</v>
      </c>
      <c r="B24" s="10">
        <v>812</v>
      </c>
      <c r="C24" s="11" t="s">
        <v>274</v>
      </c>
      <c r="D24" s="19">
        <f>'Расходы бюджета'!D304</f>
        <v>9966126.9900000002</v>
      </c>
      <c r="E24" s="19">
        <f>'Расходы бюджета'!I304</f>
        <v>9521637.2100000009</v>
      </c>
      <c r="F24" s="12">
        <v>0</v>
      </c>
      <c r="G24" s="12" t="s">
        <v>44</v>
      </c>
      <c r="H24" s="19">
        <v>9521637.2100000009</v>
      </c>
      <c r="I24" s="12" t="s">
        <v>44</v>
      </c>
    </row>
    <row r="25" spans="1:10" ht="22.5">
      <c r="A25" s="13" t="s">
        <v>56</v>
      </c>
      <c r="B25" s="10">
        <v>820</v>
      </c>
      <c r="C25" s="11" t="s">
        <v>44</v>
      </c>
      <c r="D25" s="12" t="s">
        <v>44</v>
      </c>
      <c r="E25" s="12"/>
      <c r="F25" s="12">
        <v>0</v>
      </c>
      <c r="G25" s="12">
        <v>0</v>
      </c>
      <c r="H25" s="12">
        <v>0</v>
      </c>
      <c r="I25" s="12" t="s">
        <v>44</v>
      </c>
    </row>
    <row r="26" spans="1:10">
      <c r="A26" s="13" t="s">
        <v>57</v>
      </c>
      <c r="B26" s="10"/>
      <c r="C26" s="11"/>
      <c r="D26" s="12"/>
      <c r="E26" s="12"/>
      <c r="F26" s="12"/>
      <c r="G26" s="12"/>
      <c r="H26" s="12"/>
      <c r="I26" s="12"/>
    </row>
    <row r="27" spans="1:10" ht="22.5">
      <c r="A27" s="13" t="s">
        <v>58</v>
      </c>
      <c r="B27" s="10">
        <v>821</v>
      </c>
      <c r="C27" s="11" t="s">
        <v>44</v>
      </c>
      <c r="D27" s="12" t="s">
        <v>44</v>
      </c>
      <c r="E27" s="12" t="s">
        <v>44</v>
      </c>
      <c r="F27" s="12">
        <v>0</v>
      </c>
      <c r="G27" s="12">
        <v>0</v>
      </c>
      <c r="H27" s="12">
        <v>0</v>
      </c>
      <c r="I27" s="12" t="s">
        <v>44</v>
      </c>
    </row>
    <row r="28" spans="1:10" ht="22.5">
      <c r="A28" s="13" t="s">
        <v>59</v>
      </c>
      <c r="B28" s="10">
        <v>822</v>
      </c>
      <c r="C28" s="11" t="s">
        <v>44</v>
      </c>
      <c r="D28" s="12" t="s">
        <v>44</v>
      </c>
      <c r="E28" s="12" t="s">
        <v>44</v>
      </c>
      <c r="F28" s="12">
        <v>0</v>
      </c>
      <c r="G28" s="12">
        <v>0</v>
      </c>
      <c r="H28" s="12">
        <v>0</v>
      </c>
      <c r="I28" s="12" t="s">
        <v>44</v>
      </c>
    </row>
    <row r="29" spans="1:10" ht="23.25" customHeight="1"/>
    <row r="30" spans="1:10" ht="15" customHeight="1">
      <c r="A30" s="14" t="s">
        <v>502</v>
      </c>
      <c r="B30" s="15"/>
      <c r="C30" s="185" t="s">
        <v>463</v>
      </c>
      <c r="E30" s="4" t="s">
        <v>496</v>
      </c>
      <c r="G30" s="4" t="s">
        <v>500</v>
      </c>
      <c r="I30" s="4" t="s">
        <v>501</v>
      </c>
    </row>
    <row r="31" spans="1:10" ht="24" customHeight="1">
      <c r="A31" s="186" t="s">
        <v>498</v>
      </c>
      <c r="C31" s="1" t="s">
        <v>499</v>
      </c>
      <c r="E31" s="4" t="s">
        <v>497</v>
      </c>
      <c r="G31" s="4" t="s">
        <v>498</v>
      </c>
      <c r="I31" s="4" t="s">
        <v>499</v>
      </c>
    </row>
    <row r="32" spans="1:10">
      <c r="A32" s="14" t="s">
        <v>503</v>
      </c>
      <c r="B32" s="15"/>
      <c r="C32" s="185" t="s">
        <v>60</v>
      </c>
    </row>
    <row r="33" spans="1:3">
      <c r="A33" s="186" t="s">
        <v>498</v>
      </c>
      <c r="C33" s="1" t="s">
        <v>499</v>
      </c>
    </row>
    <row r="34" spans="1:3">
      <c r="A34" s="14" t="s">
        <v>495</v>
      </c>
      <c r="B34" s="15"/>
      <c r="C34" s="16"/>
    </row>
  </sheetData>
  <mergeCells count="8">
    <mergeCell ref="I10:I11"/>
    <mergeCell ref="A9:F9"/>
    <mergeCell ref="G9:H9"/>
    <mergeCell ref="A10:A11"/>
    <mergeCell ref="B10:B11"/>
    <mergeCell ref="C10:C11"/>
    <mergeCell ref="D10:D11"/>
    <mergeCell ref="E10:H10"/>
  </mergeCells>
  <phoneticPr fontId="0" type="noConversion"/>
  <pageMargins left="0.78740157480314954" right="0.19685039370078738" top="0.39370078740157477" bottom="0.39370078740157477" header="0" footer="0"/>
  <pageSetup paperSize="9" scale="98" fitToHeight="0" orientation="landscape" r:id="rId1"/>
  <headerFooter alignWithMargins="0">
    <oddFooter>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 бюджета</vt:lpstr>
      <vt:lpstr>ИФДБ</vt:lpstr>
      <vt:lpstr>доходы!FIO</vt:lpstr>
      <vt:lpstr>ИФДБ!Заголовки_для_печати</vt:lpstr>
      <vt:lpstr>'Расходы бюджета'!Заголовки_для_печати</vt:lpstr>
    </vt:vector>
  </TitlesOfParts>
  <Company>CC System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Yu. Pronina</dc:creator>
  <cp:lastModifiedBy>Саенко</cp:lastModifiedBy>
  <cp:lastPrinted>2016-01-24T10:07:31Z</cp:lastPrinted>
  <dcterms:created xsi:type="dcterms:W3CDTF">2005-06-23T13:40:44Z</dcterms:created>
  <dcterms:modified xsi:type="dcterms:W3CDTF">2016-01-24T10:11:58Z</dcterms:modified>
</cp:coreProperties>
</file>