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 activeTab="1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доходы!$D$23</definedName>
    <definedName name="_xlnm.Print_Titles" localSheetId="2">ИФДБ!$13:$13</definedName>
    <definedName name="_xlnm.Print_Titles" localSheetId="1">'Расходы бюджета'!$12:$12</definedName>
    <definedName name="_xlnm.Print_Area" localSheetId="1">'Расходы бюджета'!$A$1:$K$285</definedName>
  </definedNames>
  <calcPr calcId="125725"/>
</workbook>
</file>

<file path=xl/calcChain.xml><?xml version="1.0" encoding="utf-8"?>
<calcChain xmlns="http://schemas.openxmlformats.org/spreadsheetml/2006/main">
  <c r="F155" i="3"/>
  <c r="G155"/>
  <c r="H155"/>
  <c r="I155"/>
  <c r="F276"/>
  <c r="F164"/>
  <c r="I164"/>
  <c r="F66" l="1"/>
  <c r="E67" i="4"/>
  <c r="F116" i="3"/>
  <c r="E67"/>
  <c r="D67"/>
  <c r="I73" l="1"/>
  <c r="E73"/>
  <c r="K73" s="1"/>
  <c r="D73"/>
  <c r="J73" s="1"/>
  <c r="E141"/>
  <c r="F141"/>
  <c r="G141"/>
  <c r="H141"/>
  <c r="D141"/>
  <c r="I68"/>
  <c r="J68" s="1"/>
  <c r="F273"/>
  <c r="G273"/>
  <c r="H273"/>
  <c r="F274"/>
  <c r="G274"/>
  <c r="H274"/>
  <c r="F279"/>
  <c r="G279"/>
  <c r="H279"/>
  <c r="E257"/>
  <c r="F257"/>
  <c r="G257"/>
  <c r="H257"/>
  <c r="D257"/>
  <c r="I143"/>
  <c r="J143" s="1"/>
  <c r="I144"/>
  <c r="J144" s="1"/>
  <c r="I160"/>
  <c r="J160" s="1"/>
  <c r="E157"/>
  <c r="D157"/>
  <c r="D156" s="1"/>
  <c r="D155" s="1"/>
  <c r="E239"/>
  <c r="D239"/>
  <c r="E70"/>
  <c r="D70"/>
  <c r="E63"/>
  <c r="D63"/>
  <c r="E66"/>
  <c r="D66"/>
  <c r="E65"/>
  <c r="E273" s="1"/>
  <c r="D65"/>
  <c r="D273" s="1"/>
  <c r="E61"/>
  <c r="D61"/>
  <c r="E59"/>
  <c r="D59"/>
  <c r="E71"/>
  <c r="D71"/>
  <c r="D73" i="4"/>
  <c r="I147" i="3"/>
  <c r="J147" s="1"/>
  <c r="I75" i="4"/>
  <c r="I19" i="3"/>
  <c r="K19" s="1"/>
  <c r="I20"/>
  <c r="K20" s="1"/>
  <c r="I25"/>
  <c r="K25" s="1"/>
  <c r="I26"/>
  <c r="K26" s="1"/>
  <c r="I27"/>
  <c r="K27" s="1"/>
  <c r="I30"/>
  <c r="K30" s="1"/>
  <c r="I31"/>
  <c r="K31" s="1"/>
  <c r="I32"/>
  <c r="K32" s="1"/>
  <c r="I33"/>
  <c r="K33" s="1"/>
  <c r="I34"/>
  <c r="K34" s="1"/>
  <c r="I37"/>
  <c r="K37" s="1"/>
  <c r="I38"/>
  <c r="K38" s="1"/>
  <c r="I46"/>
  <c r="K46" s="1"/>
  <c r="I47"/>
  <c r="K47" s="1"/>
  <c r="I49"/>
  <c r="K49" s="1"/>
  <c r="I50"/>
  <c r="K50" s="1"/>
  <c r="I51"/>
  <c r="K51" s="1"/>
  <c r="I52"/>
  <c r="K52" s="1"/>
  <c r="I54"/>
  <c r="K54" s="1"/>
  <c r="I55"/>
  <c r="K55" s="1"/>
  <c r="I59"/>
  <c r="K59" s="1"/>
  <c r="I60"/>
  <c r="K60" s="1"/>
  <c r="I61"/>
  <c r="K61" s="1"/>
  <c r="I62"/>
  <c r="K62" s="1"/>
  <c r="I63"/>
  <c r="K63" s="1"/>
  <c r="I65"/>
  <c r="K65" s="1"/>
  <c r="I66"/>
  <c r="K66" s="1"/>
  <c r="I67"/>
  <c r="K67" s="1"/>
  <c r="I69"/>
  <c r="K69" s="1"/>
  <c r="I70"/>
  <c r="K70" s="1"/>
  <c r="I71"/>
  <c r="K71" s="1"/>
  <c r="I74"/>
  <c r="I77"/>
  <c r="K77" s="1"/>
  <c r="I78"/>
  <c r="I79"/>
  <c r="I82"/>
  <c r="I83"/>
  <c r="I84"/>
  <c r="I87"/>
  <c r="I89"/>
  <c r="I92"/>
  <c r="I93"/>
  <c r="I95"/>
  <c r="I96"/>
  <c r="I97"/>
  <c r="I98"/>
  <c r="I101"/>
  <c r="I104"/>
  <c r="I105"/>
  <c r="I110"/>
  <c r="I112"/>
  <c r="I113"/>
  <c r="I114"/>
  <c r="I116"/>
  <c r="I117"/>
  <c r="I121"/>
  <c r="I122"/>
  <c r="I123"/>
  <c r="I124"/>
  <c r="I125"/>
  <c r="I126"/>
  <c r="I130"/>
  <c r="I131"/>
  <c r="I133"/>
  <c r="K133" s="1"/>
  <c r="I135"/>
  <c r="I136"/>
  <c r="I137"/>
  <c r="I145"/>
  <c r="I146"/>
  <c r="I148"/>
  <c r="I153"/>
  <c r="I157"/>
  <c r="I158"/>
  <c r="J158" s="1"/>
  <c r="I159"/>
  <c r="J159" s="1"/>
  <c r="I166"/>
  <c r="I167"/>
  <c r="I168"/>
  <c r="I169"/>
  <c r="I170"/>
  <c r="I172"/>
  <c r="I173"/>
  <c r="I176"/>
  <c r="I177"/>
  <c r="I178"/>
  <c r="I179"/>
  <c r="I180"/>
  <c r="I182"/>
  <c r="I183"/>
  <c r="I184"/>
  <c r="I185"/>
  <c r="I186"/>
  <c r="I189"/>
  <c r="I190"/>
  <c r="I191"/>
  <c r="I193"/>
  <c r="I198"/>
  <c r="I199"/>
  <c r="I201"/>
  <c r="I202"/>
  <c r="I205"/>
  <c r="I206"/>
  <c r="I207"/>
  <c r="I208"/>
  <c r="I209"/>
  <c r="I210"/>
  <c r="I211"/>
  <c r="I212"/>
  <c r="I213"/>
  <c r="I215"/>
  <c r="I216"/>
  <c r="I217"/>
  <c r="I219"/>
  <c r="I220"/>
  <c r="I221"/>
  <c r="I222"/>
  <c r="I226"/>
  <c r="I227"/>
  <c r="I257" s="1"/>
  <c r="I228"/>
  <c r="I229"/>
  <c r="I230"/>
  <c r="I232"/>
  <c r="I233"/>
  <c r="I236"/>
  <c r="I237"/>
  <c r="I238"/>
  <c r="I239"/>
  <c r="I244"/>
  <c r="I245"/>
  <c r="I246"/>
  <c r="I248"/>
  <c r="I249"/>
  <c r="I250"/>
  <c r="I251"/>
  <c r="I252"/>
  <c r="I267"/>
  <c r="I272"/>
  <c r="I18"/>
  <c r="E282"/>
  <c r="G276"/>
  <c r="H276"/>
  <c r="E277"/>
  <c r="F277"/>
  <c r="G277"/>
  <c r="H277"/>
  <c r="D277"/>
  <c r="E275"/>
  <c r="F275"/>
  <c r="G275"/>
  <c r="H275"/>
  <c r="D275"/>
  <c r="D269"/>
  <c r="E266"/>
  <c r="F266"/>
  <c r="G266"/>
  <c r="H266"/>
  <c r="D266"/>
  <c r="H263"/>
  <c r="G263"/>
  <c r="F263"/>
  <c r="I263" s="1"/>
  <c r="E263"/>
  <c r="H262"/>
  <c r="G262"/>
  <c r="F262"/>
  <c r="I262" s="1"/>
  <c r="E262"/>
  <c r="D263"/>
  <c r="D262"/>
  <c r="E258"/>
  <c r="F258"/>
  <c r="G258"/>
  <c r="H258"/>
  <c r="E259"/>
  <c r="F259"/>
  <c r="G259"/>
  <c r="H259"/>
  <c r="E260"/>
  <c r="F260"/>
  <c r="G260"/>
  <c r="H260"/>
  <c r="D260"/>
  <c r="D259"/>
  <c r="D258"/>
  <c r="E254"/>
  <c r="F254"/>
  <c r="G254"/>
  <c r="H254"/>
  <c r="E255"/>
  <c r="F255"/>
  <c r="G255"/>
  <c r="H255"/>
  <c r="D255"/>
  <c r="D254"/>
  <c r="D80" i="4"/>
  <c r="E42"/>
  <c r="D42"/>
  <c r="D276" i="3" l="1"/>
  <c r="E276"/>
  <c r="I141"/>
  <c r="D279"/>
  <c r="E279"/>
  <c r="K68"/>
  <c r="J257"/>
  <c r="K257"/>
  <c r="I279"/>
  <c r="I274"/>
  <c r="I273"/>
  <c r="K143"/>
  <c r="K144"/>
  <c r="I255"/>
  <c r="K255" s="1"/>
  <c r="I254"/>
  <c r="K254" s="1"/>
  <c r="I277"/>
  <c r="I276"/>
  <c r="I266"/>
  <c r="I275"/>
  <c r="K160"/>
  <c r="K147"/>
  <c r="I260"/>
  <c r="I259"/>
  <c r="I258"/>
  <c r="J258" s="1"/>
  <c r="K267"/>
  <c r="J267"/>
  <c r="K252"/>
  <c r="J252"/>
  <c r="K250"/>
  <c r="J250"/>
  <c r="K248"/>
  <c r="J248"/>
  <c r="K246"/>
  <c r="J246"/>
  <c r="K244"/>
  <c r="J244"/>
  <c r="K239"/>
  <c r="J239"/>
  <c r="K237"/>
  <c r="J237"/>
  <c r="K233"/>
  <c r="J233"/>
  <c r="K229"/>
  <c r="J229"/>
  <c r="K227"/>
  <c r="J227"/>
  <c r="K222"/>
  <c r="J222"/>
  <c r="K220"/>
  <c r="J220"/>
  <c r="K216"/>
  <c r="J216"/>
  <c r="K212"/>
  <c r="J212"/>
  <c r="K210"/>
  <c r="J210"/>
  <c r="K208"/>
  <c r="J208"/>
  <c r="K206"/>
  <c r="J206"/>
  <c r="K202"/>
  <c r="J202"/>
  <c r="K198"/>
  <c r="J198"/>
  <c r="K193"/>
  <c r="J193"/>
  <c r="K191"/>
  <c r="J191"/>
  <c r="K189"/>
  <c r="J189"/>
  <c r="K186"/>
  <c r="J186"/>
  <c r="K184"/>
  <c r="J184"/>
  <c r="K182"/>
  <c r="J182"/>
  <c r="K180"/>
  <c r="J180"/>
  <c r="K178"/>
  <c r="J178"/>
  <c r="K176"/>
  <c r="J176"/>
  <c r="K172"/>
  <c r="J172"/>
  <c r="K170"/>
  <c r="J170"/>
  <c r="K166"/>
  <c r="J166"/>
  <c r="K148"/>
  <c r="J148"/>
  <c r="K145"/>
  <c r="J145"/>
  <c r="K136"/>
  <c r="J136"/>
  <c r="K130"/>
  <c r="J130"/>
  <c r="K125"/>
  <c r="J125"/>
  <c r="K123"/>
  <c r="J123"/>
  <c r="K121"/>
  <c r="J121"/>
  <c r="K116"/>
  <c r="J116"/>
  <c r="K114"/>
  <c r="J114"/>
  <c r="K112"/>
  <c r="J112"/>
  <c r="K104"/>
  <c r="J104"/>
  <c r="K101"/>
  <c r="J101"/>
  <c r="K97"/>
  <c r="J97"/>
  <c r="K95"/>
  <c r="J95"/>
  <c r="K93"/>
  <c r="J93"/>
  <c r="K87"/>
  <c r="J87"/>
  <c r="K82"/>
  <c r="J82"/>
  <c r="K78"/>
  <c r="J78"/>
  <c r="K74"/>
  <c r="J74"/>
  <c r="J254"/>
  <c r="J259"/>
  <c r="J262"/>
  <c r="K262"/>
  <c r="K263"/>
  <c r="J266"/>
  <c r="K266"/>
  <c r="J275"/>
  <c r="J277"/>
  <c r="K277"/>
  <c r="K276"/>
  <c r="J273"/>
  <c r="K273"/>
  <c r="J18"/>
  <c r="K18"/>
  <c r="K272"/>
  <c r="J272"/>
  <c r="K251"/>
  <c r="J251"/>
  <c r="K249"/>
  <c r="J249"/>
  <c r="K245"/>
  <c r="J245"/>
  <c r="K238"/>
  <c r="J238"/>
  <c r="K236"/>
  <c r="J236"/>
  <c r="K232"/>
  <c r="J232"/>
  <c r="K230"/>
  <c r="J230"/>
  <c r="K228"/>
  <c r="J228"/>
  <c r="K226"/>
  <c r="J226"/>
  <c r="K221"/>
  <c r="J221"/>
  <c r="K219"/>
  <c r="J219"/>
  <c r="K217"/>
  <c r="J217"/>
  <c r="K215"/>
  <c r="J215"/>
  <c r="K213"/>
  <c r="J213"/>
  <c r="K211"/>
  <c r="J211"/>
  <c r="K209"/>
  <c r="J209"/>
  <c r="K207"/>
  <c r="J207"/>
  <c r="K205"/>
  <c r="J205"/>
  <c r="K201"/>
  <c r="J201"/>
  <c r="K199"/>
  <c r="J199"/>
  <c r="K190"/>
  <c r="J190"/>
  <c r="K185"/>
  <c r="J185"/>
  <c r="K183"/>
  <c r="J183"/>
  <c r="K179"/>
  <c r="J179"/>
  <c r="K177"/>
  <c r="J177"/>
  <c r="K173"/>
  <c r="J173"/>
  <c r="K169"/>
  <c r="J169"/>
  <c r="K167"/>
  <c r="J167"/>
  <c r="K157"/>
  <c r="J157"/>
  <c r="K153"/>
  <c r="J153"/>
  <c r="K146"/>
  <c r="J146"/>
  <c r="K137"/>
  <c r="J137"/>
  <c r="K135"/>
  <c r="J135"/>
  <c r="K131"/>
  <c r="J131"/>
  <c r="K126"/>
  <c r="J126"/>
  <c r="K124"/>
  <c r="J124"/>
  <c r="K122"/>
  <c r="J122"/>
  <c r="K117"/>
  <c r="J117"/>
  <c r="K113"/>
  <c r="J113"/>
  <c r="K110"/>
  <c r="J110"/>
  <c r="K105"/>
  <c r="J105"/>
  <c r="K98"/>
  <c r="J98"/>
  <c r="K96"/>
  <c r="J96"/>
  <c r="K92"/>
  <c r="J92"/>
  <c r="K89"/>
  <c r="J89"/>
  <c r="K83"/>
  <c r="J83"/>
  <c r="K79"/>
  <c r="J79"/>
  <c r="J255"/>
  <c r="J260"/>
  <c r="K260"/>
  <c r="K259"/>
  <c r="K258"/>
  <c r="J263"/>
  <c r="K275"/>
  <c r="J276"/>
  <c r="J279"/>
  <c r="K279"/>
  <c r="J77"/>
  <c r="J71"/>
  <c r="J70"/>
  <c r="J69"/>
  <c r="J67"/>
  <c r="J66"/>
  <c r="J65"/>
  <c r="J63"/>
  <c r="J62"/>
  <c r="J61"/>
  <c r="J60"/>
  <c r="J59"/>
  <c r="J55"/>
  <c r="J54"/>
  <c r="J52"/>
  <c r="J51"/>
  <c r="J50"/>
  <c r="J49"/>
  <c r="J47"/>
  <c r="J46"/>
  <c r="J38"/>
  <c r="J37"/>
  <c r="J34"/>
  <c r="J33"/>
  <c r="J32"/>
  <c r="J31"/>
  <c r="J30"/>
  <c r="J27"/>
  <c r="J26"/>
  <c r="J25"/>
  <c r="J20"/>
  <c r="J19"/>
  <c r="D168"/>
  <c r="J168" s="1"/>
  <c r="E168"/>
  <c r="K168" s="1"/>
  <c r="D171"/>
  <c r="E171"/>
  <c r="D174"/>
  <c r="E174"/>
  <c r="H235"/>
  <c r="G235"/>
  <c r="F235"/>
  <c r="E235"/>
  <c r="D235"/>
  <c r="H234"/>
  <c r="G234"/>
  <c r="F234"/>
  <c r="E234"/>
  <c r="D234"/>
  <c r="H231"/>
  <c r="G231"/>
  <c r="F231"/>
  <c r="E231"/>
  <c r="D231"/>
  <c r="F156"/>
  <c r="G156"/>
  <c r="G154" s="1"/>
  <c r="H156"/>
  <c r="H154" s="1"/>
  <c r="E159"/>
  <c r="E115"/>
  <c r="F115"/>
  <c r="G115"/>
  <c r="H115"/>
  <c r="D115"/>
  <c r="E118"/>
  <c r="D118"/>
  <c r="D53"/>
  <c r="F129"/>
  <c r="F128" s="1"/>
  <c r="G129"/>
  <c r="H129"/>
  <c r="H23" i="4"/>
  <c r="I82"/>
  <c r="I59"/>
  <c r="I60"/>
  <c r="I61"/>
  <c r="I63"/>
  <c r="I64"/>
  <c r="I65"/>
  <c r="I70"/>
  <c r="I58"/>
  <c r="F282" i="3"/>
  <c r="F269"/>
  <c r="F247"/>
  <c r="F218"/>
  <c r="F214"/>
  <c r="F204"/>
  <c r="F203"/>
  <c r="F200"/>
  <c r="F192"/>
  <c r="F181"/>
  <c r="F174"/>
  <c r="F171"/>
  <c r="F152"/>
  <c r="F139"/>
  <c r="F138"/>
  <c r="F120"/>
  <c r="F118"/>
  <c r="F103"/>
  <c r="F99"/>
  <c r="F94"/>
  <c r="F91"/>
  <c r="F86"/>
  <c r="F80"/>
  <c r="F278"/>
  <c r="F270"/>
  <c r="F268"/>
  <c r="F56"/>
  <c r="F53"/>
  <c r="F48"/>
  <c r="F40"/>
  <c r="F35"/>
  <c r="F28"/>
  <c r="F41"/>
  <c r="G82" i="4"/>
  <c r="F82"/>
  <c r="G81"/>
  <c r="G80" s="1"/>
  <c r="G79" s="1"/>
  <c r="G78" s="1"/>
  <c r="F81"/>
  <c r="F80" s="1"/>
  <c r="G77"/>
  <c r="G76" s="1"/>
  <c r="G218" i="3"/>
  <c r="H218"/>
  <c r="E214"/>
  <c r="G214"/>
  <c r="H214"/>
  <c r="D214"/>
  <c r="G75" i="4" l="1"/>
  <c r="G74"/>
  <c r="G73" s="1"/>
  <c r="G72" s="1"/>
  <c r="G71" s="1"/>
  <c r="G70" s="1"/>
  <c r="G69" s="1"/>
  <c r="G68" s="1"/>
  <c r="G67" s="1"/>
  <c r="G66" s="1"/>
  <c r="G65" s="1"/>
  <c r="G64" s="1"/>
  <c r="G63" s="1"/>
  <c r="G62" s="1"/>
  <c r="G61" s="1"/>
  <c r="G60" s="1"/>
  <c r="G59" s="1"/>
  <c r="G58" s="1"/>
  <c r="G57" s="1"/>
  <c r="G56" s="1"/>
  <c r="G55" s="1"/>
  <c r="G54" s="1"/>
  <c r="G53" s="1"/>
  <c r="G52" s="1"/>
  <c r="G51" s="1"/>
  <c r="G50" s="1"/>
  <c r="G49" s="1"/>
  <c r="G48" s="1"/>
  <c r="G47" s="1"/>
  <c r="G46" s="1"/>
  <c r="G45" s="1"/>
  <c r="G44" s="1"/>
  <c r="G43" s="1"/>
  <c r="G42" s="1"/>
  <c r="G41" s="1"/>
  <c r="G40" s="1"/>
  <c r="G39" s="1"/>
  <c r="G38" s="1"/>
  <c r="G37" s="1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8" s="1"/>
  <c r="F79"/>
  <c r="F78" s="1"/>
  <c r="F77" s="1"/>
  <c r="H80"/>
  <c r="H82"/>
  <c r="H225" i="3"/>
  <c r="H224" s="1"/>
  <c r="H162" s="1"/>
  <c r="I235"/>
  <c r="J235" s="1"/>
  <c r="F36"/>
  <c r="F76"/>
  <c r="F100"/>
  <c r="F175"/>
  <c r="K159"/>
  <c r="E225"/>
  <c r="I218"/>
  <c r="I115"/>
  <c r="I156"/>
  <c r="J156" s="1"/>
  <c r="G225"/>
  <c r="G224" s="1"/>
  <c r="G162" s="1"/>
  <c r="I234"/>
  <c r="J234" s="1"/>
  <c r="F29"/>
  <c r="F151"/>
  <c r="F194"/>
  <c r="F243"/>
  <c r="F154"/>
  <c r="I154" s="1"/>
  <c r="D225"/>
  <c r="F225"/>
  <c r="I231"/>
  <c r="J231" s="1"/>
  <c r="I214"/>
  <c r="K214" s="1"/>
  <c r="I129"/>
  <c r="J115"/>
  <c r="K115"/>
  <c r="J141"/>
  <c r="E109"/>
  <c r="D109"/>
  <c r="F109"/>
  <c r="F165"/>
  <c r="F188"/>
  <c r="F197"/>
  <c r="F140"/>
  <c r="F280"/>
  <c r="F256"/>
  <c r="F45"/>
  <c r="F271"/>
  <c r="F261"/>
  <c r="F21"/>
  <c r="F17" s="1"/>
  <c r="F42"/>
  <c r="F64"/>
  <c r="F72"/>
  <c r="F264"/>
  <c r="F39"/>
  <c r="D204"/>
  <c r="I29" i="4"/>
  <c r="D27"/>
  <c r="H77" l="1"/>
  <c r="F76"/>
  <c r="K234" i="3"/>
  <c r="K235"/>
  <c r="F58"/>
  <c r="F16"/>
  <c r="F265"/>
  <c r="F196"/>
  <c r="F224"/>
  <c r="I224" s="1"/>
  <c r="I225"/>
  <c r="D224"/>
  <c r="J224" s="1"/>
  <c r="J225"/>
  <c r="F242"/>
  <c r="F150"/>
  <c r="K141"/>
  <c r="K231"/>
  <c r="F43"/>
  <c r="F108"/>
  <c r="E224"/>
  <c r="K224" s="1"/>
  <c r="K225"/>
  <c r="J214"/>
  <c r="F24"/>
  <c r="E73" i="4"/>
  <c r="I77"/>
  <c r="E218" i="3"/>
  <c r="K218" s="1"/>
  <c r="D218"/>
  <c r="J218" s="1"/>
  <c r="E81" i="4"/>
  <c r="E158" i="3"/>
  <c r="G152"/>
  <c r="H152"/>
  <c r="H151" s="1"/>
  <c r="H150" s="1"/>
  <c r="H149" s="1"/>
  <c r="E129"/>
  <c r="K129" s="1"/>
  <c r="E274" l="1"/>
  <c r="E156"/>
  <c r="E155" s="1"/>
  <c r="F74" i="4"/>
  <c r="H76"/>
  <c r="F75"/>
  <c r="H75" s="1"/>
  <c r="H81"/>
  <c r="H79" s="1"/>
  <c r="H78" s="1"/>
  <c r="E79"/>
  <c r="E78" s="1"/>
  <c r="K158" i="3"/>
  <c r="K274"/>
  <c r="F107"/>
  <c r="F149"/>
  <c r="F241"/>
  <c r="G151"/>
  <c r="I152"/>
  <c r="F23"/>
  <c r="F44"/>
  <c r="F163"/>
  <c r="F15"/>
  <c r="I73" i="4"/>
  <c r="D72" i="3"/>
  <c r="H74" i="4" l="1"/>
  <c r="F73"/>
  <c r="F281" i="3"/>
  <c r="F283" s="1"/>
  <c r="F13" s="1"/>
  <c r="I163"/>
  <c r="G150"/>
  <c r="I151"/>
  <c r="K156"/>
  <c r="F162"/>
  <c r="I162" s="1"/>
  <c r="D133"/>
  <c r="D274" s="1"/>
  <c r="G282"/>
  <c r="H282"/>
  <c r="D282"/>
  <c r="E152"/>
  <c r="K152" s="1"/>
  <c r="D152"/>
  <c r="J152" s="1"/>
  <c r="E72" i="4"/>
  <c r="D72"/>
  <c r="I76"/>
  <c r="I81"/>
  <c r="D23"/>
  <c r="E23"/>
  <c r="F72" l="1"/>
  <c r="F71" s="1"/>
  <c r="F70" s="1"/>
  <c r="H73"/>
  <c r="D129" i="3"/>
  <c r="J129" s="1"/>
  <c r="J133"/>
  <c r="J274"/>
  <c r="G149"/>
  <c r="I149" s="1"/>
  <c r="I150"/>
  <c r="E154"/>
  <c r="K154" s="1"/>
  <c r="K155"/>
  <c r="I282"/>
  <c r="K282" s="1"/>
  <c r="E71" i="4"/>
  <c r="H71" s="1"/>
  <c r="H72"/>
  <c r="E120" i="3"/>
  <c r="D71" i="4"/>
  <c r="I72"/>
  <c r="D151" i="3"/>
  <c r="J151" s="1"/>
  <c r="E151"/>
  <c r="K151" s="1"/>
  <c r="E46" i="4"/>
  <c r="H80" i="3"/>
  <c r="H76" s="1"/>
  <c r="G80"/>
  <c r="E80"/>
  <c r="D80"/>
  <c r="D62" i="4"/>
  <c r="I62" s="1"/>
  <c r="H70" l="1"/>
  <c r="F69"/>
  <c r="F68" s="1"/>
  <c r="F67" s="1"/>
  <c r="F66" s="1"/>
  <c r="F65" s="1"/>
  <c r="G76" i="3"/>
  <c r="I76" s="1"/>
  <c r="I80"/>
  <c r="D76"/>
  <c r="J76" s="1"/>
  <c r="J80"/>
  <c r="E76"/>
  <c r="K76" s="1"/>
  <c r="K80"/>
  <c r="E108"/>
  <c r="J282"/>
  <c r="I71" i="4"/>
  <c r="D150" i="3"/>
  <c r="J150" s="1"/>
  <c r="E150"/>
  <c r="H65" i="4" l="1"/>
  <c r="F64"/>
  <c r="E149" i="3"/>
  <c r="K149" s="1"/>
  <c r="K150"/>
  <c r="H64" i="4" l="1"/>
  <c r="F63"/>
  <c r="H63" l="1"/>
  <c r="F62"/>
  <c r="G86" i="3"/>
  <c r="H86"/>
  <c r="E86"/>
  <c r="D86"/>
  <c r="D46" i="4"/>
  <c r="I51"/>
  <c r="I49"/>
  <c r="E247" i="3"/>
  <c r="D48"/>
  <c r="I57" i="4"/>
  <c r="E41"/>
  <c r="E261" i="3"/>
  <c r="G261"/>
  <c r="H261"/>
  <c r="I87" i="4"/>
  <c r="I86"/>
  <c r="I85"/>
  <c r="I84"/>
  <c r="I83"/>
  <c r="I80"/>
  <c r="D79"/>
  <c r="D78" s="1"/>
  <c r="I74"/>
  <c r="E69"/>
  <c r="D69"/>
  <c r="I56"/>
  <c r="E55"/>
  <c r="D55"/>
  <c r="I52"/>
  <c r="I50"/>
  <c r="I48"/>
  <c r="I47"/>
  <c r="I45"/>
  <c r="I44"/>
  <c r="I43"/>
  <c r="I39"/>
  <c r="I38"/>
  <c r="I37"/>
  <c r="I36"/>
  <c r="E35"/>
  <c r="D35"/>
  <c r="I33"/>
  <c r="I32"/>
  <c r="I31"/>
  <c r="E30"/>
  <c r="D30"/>
  <c r="D22" s="1"/>
  <c r="I28"/>
  <c r="E27"/>
  <c r="I26"/>
  <c r="I25"/>
  <c r="I24"/>
  <c r="D120" i="3"/>
  <c r="E53"/>
  <c r="E64"/>
  <c r="E72"/>
  <c r="E81"/>
  <c r="E21"/>
  <c r="E103"/>
  <c r="D247"/>
  <c r="D64"/>
  <c r="D81"/>
  <c r="D268"/>
  <c r="E84"/>
  <c r="K84" s="1"/>
  <c r="D84"/>
  <c r="J84" s="1"/>
  <c r="E128"/>
  <c r="E278"/>
  <c r="E270"/>
  <c r="E268"/>
  <c r="E204"/>
  <c r="E203"/>
  <c r="E200"/>
  <c r="E192"/>
  <c r="E139"/>
  <c r="E138"/>
  <c r="E99"/>
  <c r="E94"/>
  <c r="G81"/>
  <c r="H81"/>
  <c r="H192"/>
  <c r="H188" s="1"/>
  <c r="G192"/>
  <c r="D192"/>
  <c r="D203"/>
  <c r="G194"/>
  <c r="G140"/>
  <c r="H140"/>
  <c r="G91"/>
  <c r="H91"/>
  <c r="D91"/>
  <c r="G278"/>
  <c r="H278"/>
  <c r="D278"/>
  <c r="G269"/>
  <c r="H269"/>
  <c r="G268"/>
  <c r="H268"/>
  <c r="G270"/>
  <c r="H270"/>
  <c r="D270"/>
  <c r="G256"/>
  <c r="H256"/>
  <c r="G247"/>
  <c r="I247" s="1"/>
  <c r="H247"/>
  <c r="G128"/>
  <c r="I128" s="1"/>
  <c r="H128"/>
  <c r="D128"/>
  <c r="J128" s="1"/>
  <c r="G120"/>
  <c r="H120"/>
  <c r="G103"/>
  <c r="H103"/>
  <c r="D103"/>
  <c r="G21"/>
  <c r="H21"/>
  <c r="D41"/>
  <c r="D40"/>
  <c r="E39"/>
  <c r="E41"/>
  <c r="E42"/>
  <c r="E40"/>
  <c r="G39"/>
  <c r="G41"/>
  <c r="G42"/>
  <c r="G40"/>
  <c r="G118"/>
  <c r="G139"/>
  <c r="H39"/>
  <c r="H41"/>
  <c r="H42"/>
  <c r="H40"/>
  <c r="H118"/>
  <c r="H109" s="1"/>
  <c r="H108" s="1"/>
  <c r="H139"/>
  <c r="D139"/>
  <c r="G171"/>
  <c r="H171"/>
  <c r="G138"/>
  <c r="H138"/>
  <c r="D138"/>
  <c r="G200"/>
  <c r="G203"/>
  <c r="H203"/>
  <c r="D200"/>
  <c r="G48"/>
  <c r="G53"/>
  <c r="G56"/>
  <c r="G64"/>
  <c r="G72"/>
  <c r="H48"/>
  <c r="H53"/>
  <c r="H56"/>
  <c r="H64"/>
  <c r="H58" s="1"/>
  <c r="H72"/>
  <c r="G174"/>
  <c r="G181"/>
  <c r="H174"/>
  <c r="H181"/>
  <c r="H175" s="1"/>
  <c r="H35"/>
  <c r="H36" s="1"/>
  <c r="G35"/>
  <c r="E35"/>
  <c r="D35"/>
  <c r="G94"/>
  <c r="H94"/>
  <c r="D94"/>
  <c r="H99"/>
  <c r="H100" s="1"/>
  <c r="G99"/>
  <c r="D99"/>
  <c r="E28"/>
  <c r="G28"/>
  <c r="H28"/>
  <c r="H29" s="1"/>
  <c r="D28"/>
  <c r="D21"/>
  <c r="D181"/>
  <c r="H200"/>
  <c r="D140"/>
  <c r="D42"/>
  <c r="E269"/>
  <c r="D39"/>
  <c r="D41" i="4"/>
  <c r="G264" i="3"/>
  <c r="H62" i="4" l="1"/>
  <c r="F61"/>
  <c r="I81" i="3"/>
  <c r="I86"/>
  <c r="K86" s="1"/>
  <c r="I203"/>
  <c r="I138"/>
  <c r="J138" s="1"/>
  <c r="I103"/>
  <c r="J103" s="1"/>
  <c r="I270"/>
  <c r="J270" s="1"/>
  <c r="I268"/>
  <c r="J86"/>
  <c r="D175"/>
  <c r="D29"/>
  <c r="G29"/>
  <c r="I29" s="1"/>
  <c r="I28"/>
  <c r="J28" s="1"/>
  <c r="D100"/>
  <c r="D36"/>
  <c r="G36"/>
  <c r="I36" s="1"/>
  <c r="I35"/>
  <c r="J35" s="1"/>
  <c r="G175"/>
  <c r="I175" s="1"/>
  <c r="I181"/>
  <c r="J181" s="1"/>
  <c r="G58"/>
  <c r="I58" s="1"/>
  <c r="I64"/>
  <c r="D197"/>
  <c r="G188"/>
  <c r="I188" s="1"/>
  <c r="I192"/>
  <c r="J192" s="1"/>
  <c r="E194"/>
  <c r="K192"/>
  <c r="D154"/>
  <c r="J155"/>
  <c r="J247"/>
  <c r="D243"/>
  <c r="E17"/>
  <c r="E16" s="1"/>
  <c r="I53"/>
  <c r="J53" s="1"/>
  <c r="I171"/>
  <c r="I139"/>
  <c r="I40"/>
  <c r="I41"/>
  <c r="J41" s="1"/>
  <c r="K40"/>
  <c r="K41"/>
  <c r="J40"/>
  <c r="I120"/>
  <c r="K120" s="1"/>
  <c r="I269"/>
  <c r="J269" s="1"/>
  <c r="I91"/>
  <c r="J91" s="1"/>
  <c r="I140"/>
  <c r="J140" s="1"/>
  <c r="J203"/>
  <c r="K138"/>
  <c r="K203"/>
  <c r="K268"/>
  <c r="J81"/>
  <c r="K53"/>
  <c r="I261"/>
  <c r="D17"/>
  <c r="D16" s="1"/>
  <c r="E29"/>
  <c r="K29" s="1"/>
  <c r="K28"/>
  <c r="G100"/>
  <c r="I100" s="1"/>
  <c r="I99"/>
  <c r="J99" s="1"/>
  <c r="E36"/>
  <c r="K36" s="1"/>
  <c r="K35"/>
  <c r="G17"/>
  <c r="G16" s="1"/>
  <c r="I21"/>
  <c r="I17" s="1"/>
  <c r="I16" s="1"/>
  <c r="D188"/>
  <c r="J188" s="1"/>
  <c r="E100"/>
  <c r="K100" s="1"/>
  <c r="K99"/>
  <c r="J64"/>
  <c r="D58"/>
  <c r="J58" s="1"/>
  <c r="E58"/>
  <c r="K58" s="1"/>
  <c r="K64"/>
  <c r="D108"/>
  <c r="J120"/>
  <c r="E243"/>
  <c r="K247"/>
  <c r="I94"/>
  <c r="K94" s="1"/>
  <c r="I174"/>
  <c r="I72"/>
  <c r="J72" s="1"/>
  <c r="I56"/>
  <c r="I48"/>
  <c r="J48" s="1"/>
  <c r="I200"/>
  <c r="J200" s="1"/>
  <c r="J139"/>
  <c r="I118"/>
  <c r="I42"/>
  <c r="J42" s="1"/>
  <c r="I39"/>
  <c r="J39" s="1"/>
  <c r="K42"/>
  <c r="I256"/>
  <c r="I278"/>
  <c r="K278" s="1"/>
  <c r="K139"/>
  <c r="K200"/>
  <c r="K270"/>
  <c r="K128"/>
  <c r="J268"/>
  <c r="K103"/>
  <c r="K81"/>
  <c r="K261"/>
  <c r="D21" i="4"/>
  <c r="H43" i="3"/>
  <c r="H44" s="1"/>
  <c r="G243"/>
  <c r="H243"/>
  <c r="H242" s="1"/>
  <c r="H241" s="1"/>
  <c r="H281" s="1"/>
  <c r="G109"/>
  <c r="H17"/>
  <c r="H16" s="1"/>
  <c r="E40" i="4"/>
  <c r="D68"/>
  <c r="D67" s="1"/>
  <c r="I69"/>
  <c r="I68" s="1"/>
  <c r="E68"/>
  <c r="H69"/>
  <c r="E54"/>
  <c r="E34"/>
  <c r="E188" i="3"/>
  <c r="K188" s="1"/>
  <c r="D107"/>
  <c r="E22" i="4"/>
  <c r="E21" s="1"/>
  <c r="I79"/>
  <c r="I78"/>
  <c r="I27"/>
  <c r="I30"/>
  <c r="I35"/>
  <c r="I55"/>
  <c r="D54"/>
  <c r="I54" s="1"/>
  <c r="D43" i="3"/>
  <c r="D271"/>
  <c r="H165"/>
  <c r="H164" s="1"/>
  <c r="H45"/>
  <c r="H24" s="1"/>
  <c r="G45"/>
  <c r="G204"/>
  <c r="H107"/>
  <c r="G43"/>
  <c r="H280"/>
  <c r="E107"/>
  <c r="E43"/>
  <c r="H204"/>
  <c r="G165"/>
  <c r="D165"/>
  <c r="H194"/>
  <c r="I194" s="1"/>
  <c r="E140"/>
  <c r="G271"/>
  <c r="H271"/>
  <c r="H265" s="1"/>
  <c r="D280"/>
  <c r="G280"/>
  <c r="E91"/>
  <c r="K91" s="1"/>
  <c r="E271"/>
  <c r="H264"/>
  <c r="I264" s="1"/>
  <c r="D194"/>
  <c r="D40" i="4"/>
  <c r="E197" i="3"/>
  <c r="E165"/>
  <c r="I46" i="4"/>
  <c r="G197" i="3"/>
  <c r="D256"/>
  <c r="J256" s="1"/>
  <c r="E280"/>
  <c r="H197"/>
  <c r="E181"/>
  <c r="E56"/>
  <c r="E264"/>
  <c r="D56"/>
  <c r="E48"/>
  <c r="K48" s="1"/>
  <c r="E256"/>
  <c r="K256" s="1"/>
  <c r="I41" i="4"/>
  <c r="I42"/>
  <c r="D34"/>
  <c r="F60" l="1"/>
  <c r="H61"/>
  <c r="I40"/>
  <c r="I34"/>
  <c r="K140" i="3"/>
  <c r="K56"/>
  <c r="K39"/>
  <c r="J278"/>
  <c r="I280"/>
  <c r="K280" s="1"/>
  <c r="J56"/>
  <c r="E175"/>
  <c r="K175" s="1"/>
  <c r="K181"/>
  <c r="G196"/>
  <c r="I197"/>
  <c r="K197" s="1"/>
  <c r="G265"/>
  <c r="I265" s="1"/>
  <c r="I271"/>
  <c r="K271" s="1"/>
  <c r="G164"/>
  <c r="I165"/>
  <c r="J165" s="1"/>
  <c r="E44"/>
  <c r="G24"/>
  <c r="I24" s="1"/>
  <c r="I15" s="1"/>
  <c r="I45"/>
  <c r="D44"/>
  <c r="G108"/>
  <c r="I109"/>
  <c r="K118"/>
  <c r="J118"/>
  <c r="J174"/>
  <c r="K174"/>
  <c r="K264"/>
  <c r="K165"/>
  <c r="J280"/>
  <c r="J94"/>
  <c r="J21"/>
  <c r="J17" s="1"/>
  <c r="K72"/>
  <c r="K269"/>
  <c r="J197"/>
  <c r="D196"/>
  <c r="J36"/>
  <c r="J100"/>
  <c r="J29"/>
  <c r="J175"/>
  <c r="E196"/>
  <c r="E265"/>
  <c r="K265" s="1"/>
  <c r="D164"/>
  <c r="G44"/>
  <c r="I44" s="1"/>
  <c r="I43"/>
  <c r="K43" s="1"/>
  <c r="D265"/>
  <c r="J265" s="1"/>
  <c r="G242"/>
  <c r="I243"/>
  <c r="J243" s="1"/>
  <c r="E242"/>
  <c r="K243"/>
  <c r="K171"/>
  <c r="J171"/>
  <c r="D149"/>
  <c r="J149" s="1"/>
  <c r="J154"/>
  <c r="J194"/>
  <c r="I204"/>
  <c r="D45"/>
  <c r="K21"/>
  <c r="K17" s="1"/>
  <c r="K16" s="1"/>
  <c r="D242"/>
  <c r="K194"/>
  <c r="I22" i="4"/>
  <c r="I21"/>
  <c r="H23" i="3"/>
  <c r="H15"/>
  <c r="E164"/>
  <c r="K164" s="1"/>
  <c r="H68" i="4"/>
  <c r="E53"/>
  <c r="H196" i="3"/>
  <c r="D66" i="4"/>
  <c r="D53"/>
  <c r="I53" s="1"/>
  <c r="J16" i="3"/>
  <c r="D264"/>
  <c r="J264" s="1"/>
  <c r="E45"/>
  <c r="F59" i="4" l="1"/>
  <c r="H60"/>
  <c r="J45" i="3"/>
  <c r="G23"/>
  <c r="D163"/>
  <c r="J163" s="1"/>
  <c r="J164"/>
  <c r="J43"/>
  <c r="I23"/>
  <c r="G15"/>
  <c r="I67" i="4"/>
  <c r="E24" i="3"/>
  <c r="K24" s="1"/>
  <c r="K15" s="1"/>
  <c r="K45"/>
  <c r="J204"/>
  <c r="K204"/>
  <c r="E241"/>
  <c r="G241"/>
  <c r="I242"/>
  <c r="K242" s="1"/>
  <c r="J109"/>
  <c r="K109"/>
  <c r="D241"/>
  <c r="G107"/>
  <c r="I107" s="1"/>
  <c r="I108"/>
  <c r="J271"/>
  <c r="J44"/>
  <c r="K44"/>
  <c r="I196"/>
  <c r="K196" s="1"/>
  <c r="D24"/>
  <c r="D162"/>
  <c r="J162" s="1"/>
  <c r="E163"/>
  <c r="H67" i="4"/>
  <c r="E66"/>
  <c r="H66" s="1"/>
  <c r="E20"/>
  <c r="H20"/>
  <c r="H283" i="3"/>
  <c r="H13" s="1"/>
  <c r="F58" i="4" l="1"/>
  <c r="H59"/>
  <c r="E15" i="3"/>
  <c r="E23"/>
  <c r="K23" s="1"/>
  <c r="E281"/>
  <c r="K163"/>
  <c r="K108"/>
  <c r="J108"/>
  <c r="J24"/>
  <c r="D15"/>
  <c r="D23"/>
  <c r="J23" s="1"/>
  <c r="K107"/>
  <c r="J107"/>
  <c r="G281"/>
  <c r="I241"/>
  <c r="J241" s="1"/>
  <c r="D281"/>
  <c r="J196"/>
  <c r="J242"/>
  <c r="E283"/>
  <c r="E13" s="1"/>
  <c r="E162"/>
  <c r="K162" s="1"/>
  <c r="J15"/>
  <c r="I66" i="4"/>
  <c r="E18"/>
  <c r="H18"/>
  <c r="F57" l="1"/>
  <c r="H58"/>
  <c r="K241" i="3"/>
  <c r="I281"/>
  <c r="K281" s="1"/>
  <c r="G283"/>
  <c r="H23" i="2"/>
  <c r="F284" i="3"/>
  <c r="E23" i="2"/>
  <c r="I23" i="4"/>
  <c r="F56" l="1"/>
  <c r="H57"/>
  <c r="J281" i="3"/>
  <c r="I283"/>
  <c r="G13"/>
  <c r="D20" i="4"/>
  <c r="F55" l="1"/>
  <c r="H56"/>
  <c r="E24" i="2"/>
  <c r="I13" i="3"/>
  <c r="K283"/>
  <c r="K13" s="1"/>
  <c r="I284"/>
  <c r="D18" i="4"/>
  <c r="I18" s="1"/>
  <c r="I20"/>
  <c r="F54" l="1"/>
  <c r="H55"/>
  <c r="E21" i="2"/>
  <c r="E13"/>
  <c r="H13" s="1"/>
  <c r="D23"/>
  <c r="D261" i="3"/>
  <c r="F53" i="4" l="1"/>
  <c r="H54"/>
  <c r="D283" i="3"/>
  <c r="D13" s="1"/>
  <c r="J261"/>
  <c r="F52" i="4" l="1"/>
  <c r="H53"/>
  <c r="D24" i="2"/>
  <c r="D13" s="1"/>
  <c r="I13" s="1"/>
  <c r="J283" i="3"/>
  <c r="J13" s="1"/>
  <c r="F51" i="4" l="1"/>
  <c r="H52"/>
  <c r="F50" l="1"/>
  <c r="H51"/>
  <c r="F49" l="1"/>
  <c r="H50"/>
  <c r="F48" l="1"/>
  <c r="H49"/>
  <c r="F47" l="1"/>
  <c r="H48"/>
  <c r="F46" l="1"/>
  <c r="H47"/>
  <c r="F45" l="1"/>
  <c r="H46"/>
  <c r="F44" l="1"/>
  <c r="H45"/>
  <c r="F43" l="1"/>
  <c r="H44"/>
  <c r="F42" l="1"/>
  <c r="H43"/>
  <c r="F41" l="1"/>
  <c r="H42"/>
  <c r="F40" l="1"/>
  <c r="H41"/>
  <c r="F39" l="1"/>
  <c r="H40"/>
  <c r="F38" l="1"/>
  <c r="H39"/>
  <c r="F37" l="1"/>
  <c r="H38"/>
  <c r="F36" l="1"/>
  <c r="H37"/>
  <c r="F35" l="1"/>
  <c r="H36"/>
  <c r="F34" l="1"/>
  <c r="H35"/>
  <c r="F33" l="1"/>
  <c r="H34"/>
  <c r="H33" l="1"/>
  <c r="F32"/>
  <c r="F31" l="1"/>
  <c r="H32"/>
  <c r="F30" l="1"/>
  <c r="H31"/>
  <c r="F29" l="1"/>
  <c r="H30"/>
  <c r="H29" l="1"/>
  <c r="F28"/>
  <c r="F27" l="1"/>
  <c r="H28"/>
  <c r="F26" l="1"/>
  <c r="H27"/>
  <c r="H22" s="1"/>
  <c r="H21" s="1"/>
  <c r="H26" l="1"/>
  <c r="F25"/>
  <c r="H25" l="1"/>
  <c r="F24"/>
  <c r="F23" l="1"/>
  <c r="F22" s="1"/>
  <c r="F21" s="1"/>
  <c r="F20" s="1"/>
  <c r="F18" s="1"/>
  <c r="H24"/>
</calcChain>
</file>

<file path=xl/sharedStrings.xml><?xml version="1.0" encoding="utf-8"?>
<sst xmlns="http://schemas.openxmlformats.org/spreadsheetml/2006/main" count="761" uniqueCount="502">
  <si>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</si>
  <si>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</si>
  <si>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</si>
  <si>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</si>
  <si>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</si>
  <si>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</si>
  <si>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</si>
  <si>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</si>
  <si>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</si>
  <si>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</si>
  <si>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</si>
  <si>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</si>
  <si>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</si>
  <si>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</si>
  <si>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</si>
  <si>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</si>
  <si>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</si>
  <si>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</si>
  <si>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</si>
  <si>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</si>
  <si>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</si>
  <si>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</si>
  <si>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</si>
  <si>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</si>
  <si>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</si>
  <si>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</si>
  <si>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прочих расходных материалов и предметов снабжения</t>
  </si>
  <si>
    <t>Увеличение стоимости материальных запасов - ГСМ</t>
  </si>
  <si>
    <t>Коммун. услуги в потребление тепловой энергии</t>
  </si>
  <si>
    <t>код строки</t>
  </si>
  <si>
    <t>2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</si>
  <si>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</si>
  <si>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</si>
  <si>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</si>
  <si>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</si>
  <si>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</si>
  <si>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</si>
  <si>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</si>
  <si>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</si>
  <si>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</si>
  <si>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</si>
  <si>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</si>
  <si>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</si>
  <si>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</si>
  <si>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</si>
  <si>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</si>
  <si>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</si>
  <si>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</si>
  <si>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</si>
  <si>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</si>
  <si>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</si>
  <si>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</si>
  <si>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</si>
  <si>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</si>
  <si>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</si>
  <si>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</si>
  <si>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</si>
  <si>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</si>
  <si>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</si>
  <si>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</si>
  <si>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</si>
  <si>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</si>
  <si>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</si>
  <si>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</si>
  <si>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</si>
  <si>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</si>
  <si>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</si>
  <si>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</si>
  <si>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</si>
  <si>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</si>
  <si>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</si>
  <si>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</si>
  <si>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</si>
  <si>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</si>
  <si>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</si>
  <si>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</si>
  <si>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</si>
  <si>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</si>
  <si>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 213</t>
  </si>
  <si>
    <t>итого 211</t>
  </si>
  <si>
    <t>итого 212</t>
  </si>
  <si>
    <t>итого 223</t>
  </si>
  <si>
    <t>итого 340</t>
  </si>
  <si>
    <t>итого 213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</si>
  <si>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</si>
  <si>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</si>
  <si>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</si>
  <si>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</si>
  <si>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</si>
  <si>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</si>
  <si>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</si>
  <si>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</si>
  <si>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01048770101500211010</t>
  </si>
  <si>
    <t>01048770101500213010</t>
  </si>
  <si>
    <t>01048770101500213020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</si>
  <si>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</si>
  <si>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</si>
  <si>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</si>
  <si>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</si>
  <si>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</si>
  <si>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241000</t>
  </si>
  <si>
    <t>225010</t>
  </si>
  <si>
    <t>Прочие расходы (Резервный фонд)</t>
  </si>
  <si>
    <t>04070700400013226000</t>
  </si>
  <si>
    <t>с 01.10.2012</t>
  </si>
  <si>
    <t>01045226202500225020</t>
  </si>
  <si>
    <t>01047956015500225020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</si>
  <si>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</si>
  <si>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</si>
  <si>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</si>
  <si>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</si>
  <si>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</si>
  <si>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</si>
  <si>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</si>
  <si>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Итого 0104 8770101500:</t>
  </si>
  <si>
    <t>прочие</t>
  </si>
  <si>
    <t>0310</t>
  </si>
  <si>
    <t>01130447514244310000</t>
  </si>
  <si>
    <t>02030445118122226000</t>
  </si>
  <si>
    <t>02030445118244310000</t>
  </si>
  <si>
    <t>08010110061611241023</t>
  </si>
  <si>
    <t>08010120061611241082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</si>
  <si>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</si>
  <si>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</si>
  <si>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</si>
  <si>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</si>
  <si>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</si>
  <si>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</si>
  <si>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</si>
  <si>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</si>
  <si>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</si>
  <si>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</si>
  <si>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</si>
  <si>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</si>
  <si>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</si>
  <si>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</si>
  <si>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</si>
  <si>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Поступление нефинансовых активов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</si>
  <si>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</si>
  <si>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</si>
  <si>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</si>
  <si>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000 0500 0000000 000 000 </t>
  </si>
  <si>
    <t xml:space="preserve">000 0104 0000000 000 220 </t>
  </si>
  <si>
    <t>Увеличение стоимости материальных запасов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</si>
  <si>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</si>
  <si>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</si>
  <si>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</si>
  <si>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</si>
  <si>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</si>
  <si>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</si>
  <si>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</si>
  <si>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</si>
  <si>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</si>
  <si>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</si>
  <si>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</si>
  <si>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</si>
  <si>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</si>
  <si>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</si>
  <si>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</t>
  </si>
  <si>
    <t>Увеличение стоимости материальных запасов (прочих расходных материалов и предметов снабжения)</t>
  </si>
  <si>
    <t>0104 0344936 244 226010</t>
  </si>
  <si>
    <t>226010</t>
  </si>
  <si>
    <t>221010</t>
  </si>
  <si>
    <t>0104 0410021</t>
  </si>
  <si>
    <t>Функционирование органов местного самоуправления</t>
  </si>
  <si>
    <t>0801 0111021 611 241032</t>
  </si>
  <si>
    <t>Итого МРОТ</t>
  </si>
  <si>
    <t>0104 0444936 244 226010</t>
  </si>
  <si>
    <t>0104 0447502 244 226010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</si>
  <si>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</si>
  <si>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</si>
  <si>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</si>
  <si>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</si>
  <si>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</si>
  <si>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</si>
  <si>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</si>
  <si>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</si>
  <si>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</si>
  <si>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</si>
  <si>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</si>
  <si>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</si>
  <si>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</si>
  <si>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</si>
  <si>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годовая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</si>
  <si>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</si>
  <si>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</si>
  <si>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</si>
  <si>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</si>
  <si>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</si>
  <si>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</si>
  <si>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</si>
  <si>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</si>
  <si>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</si>
  <si>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</si>
  <si>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</si>
  <si>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</si>
  <si>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</si>
  <si>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и 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</si>
  <si>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</si>
  <si>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</si>
  <si>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</si>
  <si>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</si>
  <si>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</si>
  <si>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</si>
  <si>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</si>
  <si>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</si>
  <si>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</si>
  <si>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</si>
  <si>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</si>
  <si>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</si>
  <si>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</si>
  <si>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</si>
  <si>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</si>
  <si>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</si>
  <si>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</si>
  <si>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</si>
  <si>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</si>
  <si>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</si>
  <si>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</si>
  <si>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</si>
  <si>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</si>
  <si>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</si>
  <si>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</si>
  <si>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</si>
  <si>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</si>
  <si>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</si>
  <si>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</si>
  <si>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</si>
  <si>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</si>
  <si>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</si>
  <si>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</si>
  <si>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/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</si>
  <si>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</si>
  <si>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</si>
  <si>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</si>
  <si>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</si>
  <si>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</si>
  <si>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</si>
  <si>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</si>
  <si>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</si>
  <si>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</si>
  <si>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</si>
  <si>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</si>
  <si>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182 10102010012000 110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</si>
  <si>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</si>
  <si>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</si>
  <si>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</si>
  <si>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</si>
  <si>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</si>
  <si>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</si>
  <si>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</si>
  <si>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</si>
  <si>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</si>
  <si>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</si>
  <si>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</si>
  <si>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</si>
  <si>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</si>
  <si>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</si>
  <si>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</si>
  <si>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</si>
  <si>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</si>
  <si>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</si>
  <si>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</si>
  <si>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</si>
  <si>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</si>
  <si>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</si>
  <si>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</si>
  <si>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</si>
  <si>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</si>
  <si>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</si>
  <si>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</si>
  <si>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</si>
  <si>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807 11714030100000 180</t>
  </si>
  <si>
    <t>807 20000000000000 000</t>
  </si>
  <si>
    <t>807 20200000000000 000</t>
  </si>
  <si>
    <t>807 20201000000000 151</t>
  </si>
  <si>
    <t>807 20201001000000 151</t>
  </si>
  <si>
    <t>807 20201001100000 151</t>
  </si>
  <si>
    <t>807 20203000000000 151</t>
  </si>
  <si>
    <t>807 20204999100039 151</t>
  </si>
  <si>
    <t>807 20204999100040 151</t>
  </si>
  <si>
    <t>807 20204999100045 151</t>
  </si>
  <si>
    <t>807 20204999100046 151</t>
  </si>
  <si>
    <r>
      <rPr>
        <b/>
        <sz val="10"/>
        <rFont val="Times New Roman"/>
        <family val="1"/>
        <charset val="204"/>
      </rPr>
      <t>Непрограмные расходы</t>
    </r>
    <r>
      <rPr>
        <sz val="10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</si>
  <si>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</si>
  <si>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</si>
  <si>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</si>
  <si>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</si>
  <si>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</si>
  <si>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</si>
  <si>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</si>
  <si>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</si>
  <si>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</si>
  <si>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</si>
  <si>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</si>
  <si>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</si>
  <si>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182 10904053104000 110</t>
  </si>
  <si>
    <t>900 11701050100000 180</t>
  </si>
  <si>
    <t>0106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</si>
  <si>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</si>
  <si>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</si>
  <si>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</si>
  <si>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</si>
  <si>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</si>
  <si>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04095486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</si>
  <si>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</si>
  <si>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</si>
  <si>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</si>
  <si>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</si>
  <si>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</si>
  <si>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</si>
  <si>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</si>
  <si>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</si>
  <si>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</si>
  <si>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</si>
  <si>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807 20203015100000 151</t>
  </si>
  <si>
    <t>807 20203015000000 151</t>
  </si>
  <si>
    <t>807 20203024000000 151</t>
  </si>
  <si>
    <t>Прочие межбюджетные трансферты, передаваемые бюджетам  сельских поселений</t>
  </si>
  <si>
    <t>807 20204999100000 151</t>
  </si>
  <si>
    <t xml:space="preserve">Прочие межбюджетные трансферты, передаваемые бюджетам </t>
  </si>
  <si>
    <t>807 20204999000000 151</t>
  </si>
  <si>
    <t xml:space="preserve">Иные межбюджетные трансферты </t>
  </si>
  <si>
    <t>807 20204000000000 151</t>
  </si>
  <si>
    <t>Коммунальное хозяйство</t>
  </si>
  <si>
    <t>0502</t>
  </si>
  <si>
    <t>Поддержка жилищно-коммунального хозяйства</t>
  </si>
  <si>
    <t xml:space="preserve">000 0502 0000000 000 000 </t>
  </si>
  <si>
    <t>Поддержка коммунального хозяйства</t>
  </si>
  <si>
    <t xml:space="preserve">000 0502 3000000 000 000 </t>
  </si>
  <si>
    <t>Обеспечение функционирования муниципальных органов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</si>
  <si>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</si>
  <si>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530000</t>
  </si>
  <si>
    <t>В.И. Качин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</si>
  <si>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</si>
  <si>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807 20204999100051 151</t>
  </si>
  <si>
    <t>000 0502 0424313 452 530000</t>
  </si>
  <si>
    <t>0102</t>
  </si>
  <si>
    <t>Субвенции бюджетам на выполнение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</si>
  <si>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807 20203024107514 151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</si>
  <si>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</si>
  <si>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807 20204999100053 151</t>
  </si>
  <si>
    <t>0124536</t>
  </si>
  <si>
    <t>0125146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</si>
  <si>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</si>
  <si>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</si>
  <si>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</si>
  <si>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</si>
  <si>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</si>
  <si>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</si>
  <si>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</si>
  <si>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</si>
  <si>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</si>
  <si>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</si>
  <si>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</si>
  <si>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</si>
  <si>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</si>
  <si>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</si>
  <si>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</si>
  <si>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</si>
  <si>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</si>
  <si>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Глава администрации _____________</t>
  </si>
  <si>
    <t>Главный бухгалтер _______________</t>
  </si>
  <si>
    <t>Код источника финансирования по  бюджетной классификации</t>
  </si>
  <si>
    <t>0102 0410000220 121 211010</t>
  </si>
  <si>
    <t>0102 0410000220 129 213010</t>
  </si>
  <si>
    <t>0102 0410000220 129 213020</t>
  </si>
  <si>
    <t xml:space="preserve"> 0102 0000000000 000 210 </t>
  </si>
  <si>
    <t xml:space="preserve"> 0104 0000000000 000 210 </t>
  </si>
  <si>
    <t>0104 0410000210 121 211010</t>
  </si>
  <si>
    <t>0104 0410000210 121 211020</t>
  </si>
  <si>
    <t>0104 0410000210 122 212010</t>
  </si>
  <si>
    <t>0104 0410000210 122 212020</t>
  </si>
  <si>
    <t>0104 0410000210 244 221010</t>
  </si>
  <si>
    <t>0104 0410000210 244 222000</t>
  </si>
  <si>
    <t>0104 0410000210 244 223010</t>
  </si>
  <si>
    <t>0104 0410000210 244 223020</t>
  </si>
  <si>
    <t>0104 0410000210 244 223030</t>
  </si>
  <si>
    <t>0104 0410000210 244 225020</t>
  </si>
  <si>
    <t>0104 0410000210 244 226010</t>
  </si>
  <si>
    <t>0104 0410000210 244 290000</t>
  </si>
  <si>
    <t>0104 0410000210 244 310000</t>
  </si>
  <si>
    <t>0104 0410000210 244 340030</t>
  </si>
  <si>
    <t>0104 0410000210 244 340050</t>
  </si>
  <si>
    <t>0104 0410000210 852 290000</t>
  </si>
  <si>
    <t>0104 0410010210 121 211020</t>
  </si>
  <si>
    <t>0104 0410010210 129 213010</t>
  </si>
  <si>
    <t>0104 0410010210 129 213020</t>
  </si>
  <si>
    <t>0104 0410010210 000 000000</t>
  </si>
  <si>
    <t>0104 0410000210 129 213010</t>
  </si>
  <si>
    <t>0104 0410000210 129 213020</t>
  </si>
  <si>
    <t>0104 0410000210 122 212040</t>
  </si>
  <si>
    <t>0104 0410000210 122 212050</t>
  </si>
  <si>
    <t>0113 0440075140 244 340050</t>
  </si>
  <si>
    <t>0203 0440051180 121 211010</t>
  </si>
  <si>
    <t>0203 0440051180 122 212020</t>
  </si>
  <si>
    <t>0203 0440051180 129 213010</t>
  </si>
  <si>
    <t>0203 0440051180 129 213020</t>
  </si>
  <si>
    <t>0203 0440051180 122 212040</t>
  </si>
  <si>
    <t>0203 0440051180 122 212050</t>
  </si>
  <si>
    <t>0203 0440051180 244 225020</t>
  </si>
  <si>
    <t>0203 0440051180 244 226010</t>
  </si>
  <si>
    <t>0203 0440051180 244 310000</t>
  </si>
  <si>
    <t>0203 0440051180 244 340050</t>
  </si>
  <si>
    <t>0106 0450048010 540 251000</t>
  </si>
  <si>
    <t>0107 0420049120 880 290000</t>
  </si>
  <si>
    <t>0111 0430010110 870 290000</t>
  </si>
  <si>
    <t>0310 0420049580 244 226010</t>
  </si>
  <si>
    <t>0409 0320049080 244 225020</t>
  </si>
  <si>
    <t>0503 0330049010 244 223020</t>
  </si>
  <si>
    <t>0503 0330049050 244 226010</t>
  </si>
  <si>
    <t>0503 0330049040 244 226010</t>
  </si>
  <si>
    <t xml:space="preserve">000 0503 0000000000 000 220 </t>
  </si>
  <si>
    <t xml:space="preserve">000 0503 0000000000 000 000 </t>
  </si>
  <si>
    <t>1102 0200000610 611 241010</t>
  </si>
  <si>
    <t>1102 0200000610 611 241031</t>
  </si>
  <si>
    <t>1102 0200000610 611 241032</t>
  </si>
  <si>
    <t>1102 0200000610 611 241040</t>
  </si>
  <si>
    <t>1102 0200000610 611 241090</t>
  </si>
  <si>
    <t>1102 0200000610 611 241110</t>
  </si>
  <si>
    <t>1102 0200000610 611 241120</t>
  </si>
  <si>
    <t>1102 0200000610 611 241135</t>
  </si>
  <si>
    <t>Увеличение прочих расходных материалов и предметов снабжения</t>
  </si>
  <si>
    <t>оплата труда работников</t>
  </si>
  <si>
    <t>1102 0200000610 611 241000</t>
  </si>
  <si>
    <t xml:space="preserve">оплата труда работников </t>
  </si>
  <si>
    <t>0801 0110000610 611 241010</t>
  </si>
  <si>
    <t>0801 0110000610 611 241021</t>
  </si>
  <si>
    <t>0801 0110000610 611 241022</t>
  </si>
  <si>
    <t>0801 0110000610 611 241031</t>
  </si>
  <si>
    <t>0801 0110000610 611 241032</t>
  </si>
  <si>
    <t>0801 0110000610 611 241040</t>
  </si>
  <si>
    <t>0801 0110000610 611 241050</t>
  </si>
  <si>
    <t>0801 0110000610 611 241061</t>
  </si>
  <si>
    <t>0801 0110000610 611 241062</t>
  </si>
  <si>
    <t>0801 0110000610 611 241063</t>
  </si>
  <si>
    <t>0801 0110000610 611 241082</t>
  </si>
  <si>
    <t>0801 0110000610 611 241090</t>
  </si>
  <si>
    <t>0801 0110000610 611 241110</t>
  </si>
  <si>
    <t>0801 0110000610 611 241120</t>
  </si>
  <si>
    <t>0801 0110000610 611 241135</t>
  </si>
  <si>
    <t>0801 0110010210 611 241010</t>
  </si>
  <si>
    <t>0801 0110010210 611 241031</t>
  </si>
  <si>
    <t>0801 0110010210 611 241032</t>
  </si>
  <si>
    <t>0801 0120000610 611 241010</t>
  </si>
  <si>
    <t>0801 0120000610 611 241022</t>
  </si>
  <si>
    <t>0801 0120000610 611 241031</t>
  </si>
  <si>
    <t>0801 0120000610 611 241032</t>
  </si>
  <si>
    <t>0801 0120000610 611 241040</t>
  </si>
  <si>
    <t>0801 0120000610 611 241050</t>
  </si>
  <si>
    <t>0801 0120000610 611 241082</t>
  </si>
  <si>
    <t>0801 0120000610 611 241090</t>
  </si>
  <si>
    <t>0801 0120000610 611 241110</t>
  </si>
  <si>
    <t>0801 0120000610 611 241120</t>
  </si>
  <si>
    <t>0801 0120000610 611 241135</t>
  </si>
  <si>
    <t>0801 0120051460 612 241040</t>
  </si>
  <si>
    <t>0801 0120051460 612 241120</t>
  </si>
  <si>
    <t>0801 0120045360 611 241040</t>
  </si>
  <si>
    <t>0801 0120045360 611 241090</t>
  </si>
  <si>
    <t>0801 0120045360 611 241120</t>
  </si>
  <si>
    <t>0804 0130044030 111 211020</t>
  </si>
  <si>
    <t>0804 0130044030 112 212010</t>
  </si>
  <si>
    <t>0804 0130044030 112 212020</t>
  </si>
  <si>
    <t>0804 0130044030 244 221010</t>
  </si>
  <si>
    <t>0804 0130044030 244 225020</t>
  </si>
  <si>
    <t>0804 0130044030 244 226010</t>
  </si>
  <si>
    <t>0804 0130044030 244 340050</t>
  </si>
  <si>
    <t xml:space="preserve">000 0804 0000000000 000 210 </t>
  </si>
  <si>
    <t xml:space="preserve">000 0804 0000000000 000 000 </t>
  </si>
  <si>
    <t xml:space="preserve">000 0800 0000000000 000 000 </t>
  </si>
  <si>
    <t>0804 0130044030 112 212050</t>
  </si>
  <si>
    <t>0804 0130044030 119 213010</t>
  </si>
  <si>
    <t>0804 0130044030 119 213020</t>
  </si>
  <si>
    <t xml:space="preserve"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</si>
  <si>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</t>
  </si>
  <si>
    <t>0804 0130044030 112 212040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</si>
  <si>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</si>
  <si>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</si>
  <si>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Итого начисления на выплаты по оплате труда</t>
  </si>
  <si>
    <t>212040</t>
  </si>
  <si>
    <t>212050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</si>
  <si>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согласно законодательству Российской Федерации)</t>
  </si>
  <si>
    <t>0409 0320074920 244 226010</t>
  </si>
  <si>
    <t>0409 0320073930 244 226010</t>
  </si>
  <si>
    <t>0409 0320073930 244 225020</t>
  </si>
  <si>
    <t xml:space="preserve">Межбюджетные трансферты 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системы» </t>
  </si>
  <si>
    <t>Безвозмездные перечисления государственным и муниципальным организациям</t>
  </si>
  <si>
    <t>Увеличение стоимости акций и иных форм участия в капитале</t>
  </si>
  <si>
    <t>0503 0330049050 244 340050</t>
  </si>
  <si>
    <t>0409 03200S3930 244 225020</t>
  </si>
  <si>
    <t>0409 03200S4920 244 226010</t>
  </si>
  <si>
    <t>Заработная плата муниципальных служащих</t>
  </si>
  <si>
    <t>оплата труда работников по  НСОТ</t>
  </si>
  <si>
    <t>Прочие межбюджетные трансферты 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 Развитие транспортной системы"</t>
  </si>
  <si>
    <t>807 20204999100057 151</t>
  </si>
  <si>
    <t>807 20204999100055 151</t>
  </si>
  <si>
    <t>182 10606033103000 110</t>
  </si>
  <si>
    <t>на 01 апреля 2016 г.</t>
  </si>
  <si>
    <t>04 апреля 2016 г.</t>
  </si>
  <si>
    <t>0104 0410000210 853 290000</t>
  </si>
  <si>
    <t>807 21805010100000 180</t>
  </si>
  <si>
    <t>Доходы бюджжетов сельских поселений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</si>
</sst>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4">
    <numFmt numFmtId="164" formatCode="_-* #,##0.00_$_-;\-* #,##0.00_$_-;_-* &quot;-&quot;??_$_-;_-@_-"/>
    <numFmt numFmtId="165" formatCode="000"/>
    <numFmt numFmtId="166" formatCode="dd/mm/yyyy\ &quot;г.&quot;"/>
    <numFmt numFmtId="167" formatCode="?"/>
  </numFmts>
  <fonts count="35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53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b/>
      <i/>
      <sz val="11"/>
      <color indexed="53"/>
      <name val="Times New Roman"/>
      <family val="1"/>
      <charset val="204"/>
    </font>
    <font>
      <b/>
      <sz val="11"/>
      <color indexed="53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6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9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165" fontId="7" fillId="0" borderId="2" xfId="0" applyNumberFormat="1" applyFont="1" applyFill="1" applyBorder="1" applyAlignment="1">
      <alignment horizontal="right" vertical="top"/>
    </xf>
    <xf numFmtId="0" fontId="7" fillId="0" borderId="0" xfId="0" applyFont="1" applyFill="1"/>
    <xf numFmtId="165" fontId="10" fillId="0" borderId="2" xfId="0" applyNumberFormat="1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justify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9" fontId="10" fillId="0" borderId="5" xfId="0" applyNumberFormat="1" applyFont="1" applyBorder="1" applyAlignment="1">
      <alignment horizontal="centerContinuous"/>
    </xf>
    <xf numFmtId="166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Continuous"/>
    </xf>
    <xf numFmtId="49" fontId="10" fillId="0" borderId="0" xfId="0" applyNumberFormat="1" applyFont="1" applyAlignment="1">
      <alignment horizontal="center" vertical="center"/>
    </xf>
    <xf numFmtId="49" fontId="10" fillId="0" borderId="8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right" vertical="top"/>
    </xf>
    <xf numFmtId="0" fontId="8" fillId="0" borderId="0" xfId="0" applyFont="1" applyFill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Fill="1"/>
    <xf numFmtId="0" fontId="15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justify"/>
    </xf>
    <xf numFmtId="49" fontId="8" fillId="0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49" fontId="8" fillId="0" borderId="2" xfId="0" applyNumberFormat="1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top"/>
    </xf>
    <xf numFmtId="49" fontId="10" fillId="0" borderId="11" xfId="0" applyNumberFormat="1" applyFont="1" applyBorder="1" applyAlignment="1">
      <alignment horizontal="left" wrapText="1"/>
    </xf>
    <xf numFmtId="165" fontId="7" fillId="0" borderId="12" xfId="0" applyNumberFormat="1" applyFont="1" applyFill="1" applyBorder="1" applyAlignment="1">
      <alignment horizontal="center" vertical="top"/>
    </xf>
    <xf numFmtId="49" fontId="7" fillId="0" borderId="2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/>
    <xf numFmtId="49" fontId="10" fillId="0" borderId="2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right" vertical="top"/>
    </xf>
    <xf numFmtId="49" fontId="16" fillId="0" borderId="2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vertical="top" wrapText="1"/>
    </xf>
    <xf numFmtId="0" fontId="14" fillId="0" borderId="0" xfId="0" applyFont="1" applyFill="1"/>
    <xf numFmtId="0" fontId="15" fillId="2" borderId="2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 vertical="top" wrapText="1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/>
    <xf numFmtId="49" fontId="10" fillId="0" borderId="2" xfId="0" quotePrefix="1" applyNumberFormat="1" applyFont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top"/>
    </xf>
    <xf numFmtId="49" fontId="22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/>
    </xf>
    <xf numFmtId="49" fontId="23" fillId="0" borderId="2" xfId="0" applyNumberFormat="1" applyFont="1" applyFill="1" applyBorder="1" applyAlignment="1">
      <alignment horizontal="left" vertical="top"/>
    </xf>
    <xf numFmtId="49" fontId="24" fillId="0" borderId="2" xfId="0" applyNumberFormat="1" applyFont="1" applyFill="1" applyBorder="1" applyAlignment="1">
      <alignment horizontal="left" vertical="top"/>
    </xf>
    <xf numFmtId="49" fontId="25" fillId="0" borderId="2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Alignment="1">
      <alignment horizontal="left" vertical="top"/>
    </xf>
    <xf numFmtId="49" fontId="23" fillId="0" borderId="12" xfId="0" applyNumberFormat="1" applyFont="1" applyFill="1" applyBorder="1" applyAlignment="1">
      <alignment horizontal="left" vertical="top"/>
    </xf>
    <xf numFmtId="49" fontId="21" fillId="0" borderId="0" xfId="0" applyNumberFormat="1" applyFont="1" applyFill="1" applyAlignment="1">
      <alignment horizontal="left" vertical="top"/>
    </xf>
    <xf numFmtId="49" fontId="22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left" vertical="top"/>
    </xf>
    <xf numFmtId="49" fontId="22" fillId="0" borderId="10" xfId="0" applyNumberFormat="1" applyFont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 vertical="top"/>
    </xf>
    <xf numFmtId="49" fontId="22" fillId="0" borderId="2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horizont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11" fillId="0" borderId="2" xfId="0" applyNumberFormat="1" applyFont="1" applyBorder="1" applyAlignment="1">
      <alignment horizontal="right" vertical="top"/>
    </xf>
    <xf numFmtId="49" fontId="11" fillId="0" borderId="2" xfId="0" applyNumberFormat="1" applyFont="1" applyBorder="1" applyAlignment="1">
      <alignment horizontal="left" vertical="top" wrapText="1"/>
    </xf>
    <xf numFmtId="4" fontId="26" fillId="0" borderId="2" xfId="0" applyNumberFormat="1" applyFont="1" applyBorder="1" applyAlignment="1">
      <alignment horizontal="right" vertical="top"/>
    </xf>
    <xf numFmtId="4" fontId="11" fillId="0" borderId="2" xfId="0" applyNumberFormat="1" applyFont="1" applyBorder="1" applyAlignment="1">
      <alignment horizontal="right" vertical="top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Border="1" applyAlignment="1">
      <alignment horizontal="left" wrapText="1"/>
    </xf>
    <xf numFmtId="49" fontId="20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left" vertical="center" wrapText="1"/>
    </xf>
    <xf numFmtId="49" fontId="29" fillId="0" borderId="2" xfId="0" applyNumberFormat="1" applyFont="1" applyFill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left" vertical="center" wrapText="1"/>
    </xf>
    <xf numFmtId="4" fontId="29" fillId="0" borderId="2" xfId="1" applyNumberFormat="1" applyFont="1" applyFill="1" applyBorder="1" applyAlignment="1">
      <alignment horizontal="left" vertical="top"/>
    </xf>
    <xf numFmtId="4" fontId="29" fillId="0" borderId="2" xfId="0" applyNumberFormat="1" applyFont="1" applyFill="1" applyBorder="1" applyAlignment="1">
      <alignment horizontal="left" vertical="top"/>
    </xf>
    <xf numFmtId="2" fontId="30" fillId="0" borderId="2" xfId="0" applyNumberFormat="1" applyFont="1" applyFill="1" applyBorder="1" applyAlignment="1">
      <alignment horizontal="left" vertical="top"/>
    </xf>
    <xf numFmtId="4" fontId="30" fillId="0" borderId="2" xfId="0" applyNumberFormat="1" applyFont="1" applyFill="1" applyBorder="1" applyAlignment="1">
      <alignment horizontal="left" vertical="top"/>
    </xf>
    <xf numFmtId="4" fontId="28" fillId="0" borderId="2" xfId="0" applyNumberFormat="1" applyFont="1" applyFill="1" applyBorder="1" applyAlignment="1">
      <alignment horizontal="left" vertical="top"/>
    </xf>
    <xf numFmtId="4" fontId="30" fillId="0" borderId="12" xfId="0" applyNumberFormat="1" applyFont="1" applyFill="1" applyBorder="1" applyAlignment="1">
      <alignment horizontal="left" vertical="top"/>
    </xf>
    <xf numFmtId="4" fontId="31" fillId="0" borderId="2" xfId="0" applyNumberFormat="1" applyFont="1" applyFill="1" applyBorder="1" applyAlignment="1">
      <alignment horizontal="left" vertical="top"/>
    </xf>
    <xf numFmtId="4" fontId="32" fillId="0" borderId="2" xfId="0" applyNumberFormat="1" applyFont="1" applyFill="1" applyBorder="1" applyAlignment="1">
      <alignment horizontal="left" vertical="top"/>
    </xf>
    <xf numFmtId="4" fontId="33" fillId="0" borderId="2" xfId="0" applyNumberFormat="1" applyFont="1" applyFill="1" applyBorder="1" applyAlignment="1">
      <alignment horizontal="left" vertical="top"/>
    </xf>
    <xf numFmtId="4" fontId="34" fillId="0" borderId="2" xfId="0" applyNumberFormat="1" applyFont="1" applyFill="1" applyBorder="1" applyAlignment="1">
      <alignment horizontal="left" vertical="top"/>
    </xf>
    <xf numFmtId="4" fontId="28" fillId="0" borderId="2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"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topLeftCell="A76" zoomScale="80" zoomScaleNormal="100" zoomScaleSheetLayoutView="80" workbookViewId="0">
      <selection activeCell="G83" sqref="G83"/>
    </sheetView>
  </sheetViews>
  <sheetFormatPr defaultRowHeight="12.75"/>
  <cols>
    <col min="1" max="1" width="44" style="29" customWidth="1"/>
    <col min="2" max="2" width="9.140625" style="29" customWidth="1"/>
    <col min="3" max="3" width="26.85546875" style="29" customWidth="1"/>
    <col min="4" max="4" width="17.85546875" style="29" customWidth="1"/>
    <col min="5" max="8" width="15.28515625" style="29" customWidth="1"/>
    <col min="9" max="9" width="17" style="29" customWidth="1"/>
    <col min="10" max="16384" width="9.140625" style="29"/>
  </cols>
  <sheetData>
    <row r="1" spans="1:9" ht="24" customHeight="1" thickBot="1">
      <c r="A1" s="175" t="s">
        <v>173</v>
      </c>
      <c r="B1" s="175"/>
      <c r="C1" s="175"/>
      <c r="D1" s="175"/>
      <c r="E1" s="175"/>
      <c r="F1" s="175"/>
      <c r="G1" s="175"/>
      <c r="H1" s="176"/>
      <c r="I1" s="31" t="s">
        <v>174</v>
      </c>
    </row>
    <row r="2" spans="1:9" ht="27.75" customHeight="1">
      <c r="A2" s="177" t="s">
        <v>344</v>
      </c>
      <c r="B2" s="177"/>
      <c r="C2" s="177"/>
      <c r="D2" s="177"/>
      <c r="E2" s="177"/>
      <c r="F2" s="177"/>
      <c r="G2" s="177"/>
      <c r="H2" s="35" t="s">
        <v>175</v>
      </c>
      <c r="I2" s="36" t="s">
        <v>230</v>
      </c>
    </row>
    <row r="3" spans="1:9" ht="21" customHeight="1">
      <c r="A3" s="178" t="s">
        <v>497</v>
      </c>
      <c r="B3" s="178"/>
      <c r="C3" s="178"/>
      <c r="D3" s="178"/>
      <c r="E3" s="178"/>
      <c r="F3" s="178"/>
      <c r="G3" s="178"/>
      <c r="H3" s="30" t="s">
        <v>176</v>
      </c>
      <c r="I3" s="37">
        <v>42461</v>
      </c>
    </row>
    <row r="4" spans="1:9">
      <c r="A4" s="32"/>
      <c r="B4" s="32"/>
      <c r="C4" s="33"/>
      <c r="D4" s="34"/>
      <c r="E4" s="30"/>
      <c r="F4" s="30"/>
      <c r="G4" s="30"/>
      <c r="H4" s="30" t="s">
        <v>177</v>
      </c>
      <c r="I4" s="38" t="s">
        <v>304</v>
      </c>
    </row>
    <row r="5" spans="1:9">
      <c r="A5" s="32" t="s">
        <v>178</v>
      </c>
      <c r="B5" s="172" t="s">
        <v>179</v>
      </c>
      <c r="C5" s="173"/>
      <c r="D5" s="173"/>
      <c r="E5" s="30"/>
      <c r="F5" s="30"/>
      <c r="G5" s="30"/>
      <c r="H5" s="30" t="s">
        <v>180</v>
      </c>
      <c r="I5" s="38" t="s">
        <v>232</v>
      </c>
    </row>
    <row r="6" spans="1:9" ht="12.75" customHeight="1">
      <c r="A6" s="32" t="s">
        <v>181</v>
      </c>
      <c r="B6" s="179" t="s">
        <v>350</v>
      </c>
      <c r="C6" s="179"/>
      <c r="D6" s="179"/>
      <c r="E6" s="179"/>
      <c r="F6" s="179"/>
      <c r="G6" s="30"/>
      <c r="H6" s="30" t="s">
        <v>182</v>
      </c>
      <c r="I6" s="39" t="s">
        <v>233</v>
      </c>
    </row>
    <row r="7" spans="1:9">
      <c r="A7" s="32" t="s">
        <v>183</v>
      </c>
      <c r="B7" s="32"/>
      <c r="C7" s="33"/>
      <c r="D7" s="34"/>
      <c r="E7" s="30"/>
      <c r="F7" s="30"/>
      <c r="G7" s="30"/>
      <c r="H7" s="30"/>
      <c r="I7" s="40"/>
    </row>
    <row r="8" spans="1:9" ht="13.5" thickBot="1">
      <c r="A8" s="32" t="s">
        <v>3</v>
      </c>
      <c r="B8" s="32"/>
      <c r="C8" s="41"/>
      <c r="D8" s="34"/>
      <c r="E8" s="30"/>
      <c r="F8" s="30"/>
      <c r="G8" s="30"/>
      <c r="H8" s="30" t="s">
        <v>184</v>
      </c>
      <c r="I8" s="42" t="s">
        <v>234</v>
      </c>
    </row>
    <row r="9" spans="1:9">
      <c r="A9" s="174" t="s">
        <v>185</v>
      </c>
      <c r="B9" s="174"/>
      <c r="C9" s="174"/>
      <c r="D9" s="174"/>
      <c r="E9" s="43"/>
      <c r="F9" s="115"/>
      <c r="G9" s="115"/>
      <c r="H9" s="115"/>
      <c r="I9" s="44"/>
    </row>
    <row r="10" spans="1:9" ht="12.75" customHeight="1">
      <c r="A10" s="165" t="s">
        <v>32</v>
      </c>
      <c r="B10" s="165" t="s">
        <v>186</v>
      </c>
      <c r="C10" s="165" t="s">
        <v>187</v>
      </c>
      <c r="D10" s="164" t="s">
        <v>188</v>
      </c>
      <c r="E10" s="166" t="s">
        <v>5</v>
      </c>
      <c r="F10" s="167"/>
      <c r="G10" s="167"/>
      <c r="H10" s="168"/>
      <c r="I10" s="164" t="s">
        <v>6</v>
      </c>
    </row>
    <row r="11" spans="1:9" ht="12.75" customHeight="1">
      <c r="A11" s="165"/>
      <c r="B11" s="165"/>
      <c r="C11" s="165"/>
      <c r="D11" s="164"/>
      <c r="E11" s="169" t="s">
        <v>35</v>
      </c>
      <c r="F11" s="169" t="s">
        <v>345</v>
      </c>
      <c r="G11" s="169" t="s">
        <v>37</v>
      </c>
      <c r="H11" s="169" t="s">
        <v>346</v>
      </c>
      <c r="I11" s="164"/>
    </row>
    <row r="12" spans="1:9" ht="12.75" customHeight="1">
      <c r="A12" s="165"/>
      <c r="B12" s="165"/>
      <c r="C12" s="165"/>
      <c r="D12" s="164"/>
      <c r="E12" s="170"/>
      <c r="F12" s="170"/>
      <c r="G12" s="170"/>
      <c r="H12" s="170"/>
      <c r="I12" s="164"/>
    </row>
    <row r="13" spans="1:9" ht="12.75" customHeight="1">
      <c r="A13" s="165"/>
      <c r="B13" s="165"/>
      <c r="C13" s="165"/>
      <c r="D13" s="164"/>
      <c r="E13" s="170"/>
      <c r="F13" s="170"/>
      <c r="G13" s="170"/>
      <c r="H13" s="170"/>
      <c r="I13" s="164"/>
    </row>
    <row r="14" spans="1:9" ht="12.75" customHeight="1">
      <c r="A14" s="165"/>
      <c r="B14" s="165"/>
      <c r="C14" s="165"/>
      <c r="D14" s="164"/>
      <c r="E14" s="170"/>
      <c r="F14" s="170"/>
      <c r="G14" s="170"/>
      <c r="H14" s="170"/>
      <c r="I14" s="164"/>
    </row>
    <row r="15" spans="1:9" ht="12.75" customHeight="1">
      <c r="A15" s="165"/>
      <c r="B15" s="165"/>
      <c r="C15" s="165"/>
      <c r="D15" s="164"/>
      <c r="E15" s="170"/>
      <c r="F15" s="170"/>
      <c r="G15" s="170"/>
      <c r="H15" s="170"/>
      <c r="I15" s="164"/>
    </row>
    <row r="16" spans="1:9" ht="12.75" customHeight="1">
      <c r="A16" s="165"/>
      <c r="B16" s="165"/>
      <c r="C16" s="165"/>
      <c r="D16" s="164"/>
      <c r="E16" s="171"/>
      <c r="F16" s="171"/>
      <c r="G16" s="171"/>
      <c r="H16" s="171"/>
      <c r="I16" s="164"/>
    </row>
    <row r="17" spans="1:9" ht="12.75" customHeight="1">
      <c r="A17" s="45">
        <v>1</v>
      </c>
      <c r="B17" s="45">
        <v>2</v>
      </c>
      <c r="C17" s="45">
        <v>3</v>
      </c>
      <c r="D17" s="46" t="s">
        <v>235</v>
      </c>
      <c r="E17" s="46" t="s">
        <v>236</v>
      </c>
      <c r="F17" s="46" t="s">
        <v>237</v>
      </c>
      <c r="G17" s="46" t="s">
        <v>347</v>
      </c>
      <c r="H17" s="46" t="s">
        <v>348</v>
      </c>
      <c r="I17" s="46" t="s">
        <v>349</v>
      </c>
    </row>
    <row r="18" spans="1:9" ht="12.75" customHeight="1">
      <c r="A18" s="47" t="s">
        <v>189</v>
      </c>
      <c r="B18" s="48" t="s">
        <v>238</v>
      </c>
      <c r="C18" s="49" t="s">
        <v>190</v>
      </c>
      <c r="D18" s="147">
        <f>D20+D66</f>
        <v>9642184</v>
      </c>
      <c r="E18" s="147">
        <f>E20+E66</f>
        <v>1608532.77</v>
      </c>
      <c r="F18" s="147">
        <f t="shared" ref="F18:G18" si="0">F20+F66</f>
        <v>0</v>
      </c>
      <c r="G18" s="147">
        <f t="shared" si="0"/>
        <v>0</v>
      </c>
      <c r="H18" s="147">
        <f>E20+E66</f>
        <v>1608532.77</v>
      </c>
      <c r="I18" s="147">
        <f>IF(OR(D18="-",E18=D18),"-",D18-IF(E18="-",0,E18))</f>
        <v>8033651.2300000004</v>
      </c>
    </row>
    <row r="19" spans="1:9" ht="12.75" customHeight="1">
      <c r="A19" s="50" t="s">
        <v>44</v>
      </c>
      <c r="B19" s="51"/>
      <c r="C19" s="46"/>
      <c r="D19" s="148"/>
      <c r="E19" s="148"/>
      <c r="F19" s="148"/>
      <c r="G19" s="148"/>
      <c r="H19" s="148"/>
      <c r="I19" s="148"/>
    </row>
    <row r="20" spans="1:9" s="109" customFormat="1" ht="21.75" customHeight="1">
      <c r="A20" s="47" t="s">
        <v>191</v>
      </c>
      <c r="B20" s="48" t="s">
        <v>231</v>
      </c>
      <c r="C20" s="49" t="s">
        <v>192</v>
      </c>
      <c r="D20" s="147">
        <f>D21+D34+D40+D53+D62+D65+D64+D57+D58+D59+D60</f>
        <v>1179516</v>
      </c>
      <c r="E20" s="147">
        <f>E21+E34+E40+E53+E62+E65+E64+E63+E60+E57+E58+E61+E59</f>
        <v>144532.77000000002</v>
      </c>
      <c r="F20" s="147">
        <f t="shared" ref="F20:G20" si="1">F21+F34+F40+F53+F62+F65+F64+F63+F60+F57+F58+F61+F59</f>
        <v>0</v>
      </c>
      <c r="G20" s="147">
        <f t="shared" si="1"/>
        <v>0</v>
      </c>
      <c r="H20" s="147">
        <f>E21+E34+E40+E53+E62+E65+E64+E63+E60+E57+E58+E61+E59</f>
        <v>144532.77000000002</v>
      </c>
      <c r="I20" s="147">
        <f t="shared" ref="I20:I38" si="2">IF(OR(D20="-",E20=D20),"-",D20-IF(E20="-",0,E20))</f>
        <v>1034983.23</v>
      </c>
    </row>
    <row r="21" spans="1:9" ht="21.75" customHeight="1">
      <c r="A21" s="47" t="s">
        <v>193</v>
      </c>
      <c r="B21" s="48" t="s">
        <v>231</v>
      </c>
      <c r="C21" s="49" t="s">
        <v>239</v>
      </c>
      <c r="D21" s="147">
        <f>D22</f>
        <v>1006355</v>
      </c>
      <c r="E21" s="147">
        <f>E22</f>
        <v>107502.24</v>
      </c>
      <c r="F21" s="147">
        <f>F22</f>
        <v>0</v>
      </c>
      <c r="G21" s="147">
        <f>G22</f>
        <v>0</v>
      </c>
      <c r="H21" s="147">
        <f>H22</f>
        <v>107502.24</v>
      </c>
      <c r="I21" s="147">
        <f>IF(OR(D21="-",E21=D21),"-",D21-IF(E21="-",0,E21))</f>
        <v>898852.76</v>
      </c>
    </row>
    <row r="22" spans="1:9" ht="24" customHeight="1">
      <c r="A22" s="50" t="s">
        <v>194</v>
      </c>
      <c r="B22" s="51" t="s">
        <v>231</v>
      </c>
      <c r="C22" s="46" t="s">
        <v>240</v>
      </c>
      <c r="D22" s="148">
        <f>FIO+D27+D30</f>
        <v>1006355</v>
      </c>
      <c r="E22" s="148">
        <f>E23+E27+E30</f>
        <v>107502.24</v>
      </c>
      <c r="F22" s="148">
        <f t="shared" ref="F22" si="3">F23+F27+F30</f>
        <v>0</v>
      </c>
      <c r="G22" s="148">
        <f>G23+G27+G30</f>
        <v>0</v>
      </c>
      <c r="H22" s="148">
        <f>H23+H27+H30</f>
        <v>107502.24</v>
      </c>
      <c r="I22" s="148">
        <f>IF(OR(D22="-",E22=D22),"-",D22-IF(E22="-",0,E22))</f>
        <v>898852.76</v>
      </c>
    </row>
    <row r="23" spans="1:9" ht="78.75" customHeight="1">
      <c r="A23" s="50" t="s">
        <v>195</v>
      </c>
      <c r="B23" s="51" t="s">
        <v>231</v>
      </c>
      <c r="C23" s="46" t="s">
        <v>241</v>
      </c>
      <c r="D23" s="148">
        <f>D24+D25+D26</f>
        <v>516696</v>
      </c>
      <c r="E23" s="148">
        <f>E24+E25+E26</f>
        <v>105877.24</v>
      </c>
      <c r="F23" s="148">
        <f t="shared" ref="F23:G23" si="4">F24+F25+F26</f>
        <v>0</v>
      </c>
      <c r="G23" s="148">
        <f t="shared" si="4"/>
        <v>0</v>
      </c>
      <c r="H23" s="148">
        <f>E24+E25+E26</f>
        <v>105877.24</v>
      </c>
      <c r="I23" s="148">
        <f t="shared" si="2"/>
        <v>410818.76</v>
      </c>
    </row>
    <row r="24" spans="1:9" ht="115.5" customHeight="1">
      <c r="A24" s="53" t="s">
        <v>196</v>
      </c>
      <c r="B24" s="51" t="s">
        <v>231</v>
      </c>
      <c r="C24" s="46" t="s">
        <v>242</v>
      </c>
      <c r="D24" s="148">
        <v>516696</v>
      </c>
      <c r="E24" s="148">
        <v>105877.24</v>
      </c>
      <c r="F24" s="148">
        <f t="shared" ref="D24:F82" si="5">F25+F26+F27</f>
        <v>0</v>
      </c>
      <c r="G24" s="148">
        <f t="shared" ref="G24:G82" si="6">G25+G26+G27</f>
        <v>0</v>
      </c>
      <c r="H24" s="148">
        <f>E24+F24+G24</f>
        <v>105877.24</v>
      </c>
      <c r="I24" s="148">
        <f t="shared" si="2"/>
        <v>410818.76</v>
      </c>
    </row>
    <row r="25" spans="1:9" ht="94.5" hidden="1" customHeight="1">
      <c r="A25" s="53" t="s">
        <v>197</v>
      </c>
      <c r="B25" s="51" t="s">
        <v>231</v>
      </c>
      <c r="C25" s="46" t="s">
        <v>243</v>
      </c>
      <c r="D25" s="148"/>
      <c r="E25" s="148"/>
      <c r="F25" s="148">
        <f t="shared" si="5"/>
        <v>0</v>
      </c>
      <c r="G25" s="148">
        <f t="shared" si="6"/>
        <v>0</v>
      </c>
      <c r="H25" s="148">
        <f t="shared" ref="H25:H82" si="7">E25+F25+G25</f>
        <v>0</v>
      </c>
      <c r="I25" s="148" t="str">
        <f t="shared" si="2"/>
        <v>-</v>
      </c>
    </row>
    <row r="26" spans="1:9" ht="119.25" hidden="1" customHeight="1">
      <c r="A26" s="53" t="s">
        <v>198</v>
      </c>
      <c r="B26" s="51" t="s">
        <v>231</v>
      </c>
      <c r="C26" s="46" t="s">
        <v>244</v>
      </c>
      <c r="D26" s="148"/>
      <c r="E26" s="148"/>
      <c r="F26" s="148">
        <f t="shared" si="5"/>
        <v>0</v>
      </c>
      <c r="G26" s="148">
        <f t="shared" si="6"/>
        <v>0</v>
      </c>
      <c r="H26" s="148">
        <f t="shared" si="7"/>
        <v>0</v>
      </c>
      <c r="I26" s="148" t="str">
        <f t="shared" si="2"/>
        <v>-</v>
      </c>
    </row>
    <row r="27" spans="1:9" ht="114.75">
      <c r="A27" s="53" t="s">
        <v>199</v>
      </c>
      <c r="B27" s="51" t="s">
        <v>231</v>
      </c>
      <c r="C27" s="46" t="s">
        <v>245</v>
      </c>
      <c r="D27" s="148">
        <f>D28+D29</f>
        <v>483146</v>
      </c>
      <c r="E27" s="148">
        <f>E28+E29</f>
        <v>1625</v>
      </c>
      <c r="F27" s="148">
        <f t="shared" si="5"/>
        <v>0</v>
      </c>
      <c r="G27" s="148">
        <f t="shared" si="6"/>
        <v>0</v>
      </c>
      <c r="H27" s="148">
        <f t="shared" si="7"/>
        <v>1625</v>
      </c>
      <c r="I27" s="148">
        <f t="shared" si="2"/>
        <v>481521</v>
      </c>
    </row>
    <row r="28" spans="1:9" ht="158.25" customHeight="1">
      <c r="A28" s="53" t="s">
        <v>200</v>
      </c>
      <c r="B28" s="51" t="s">
        <v>231</v>
      </c>
      <c r="C28" s="46" t="s">
        <v>246</v>
      </c>
      <c r="D28" s="148">
        <v>483146</v>
      </c>
      <c r="E28" s="148">
        <v>1625</v>
      </c>
      <c r="F28" s="148">
        <f t="shared" si="5"/>
        <v>0</v>
      </c>
      <c r="G28" s="148">
        <f t="shared" si="6"/>
        <v>0</v>
      </c>
      <c r="H28" s="148">
        <f t="shared" si="7"/>
        <v>1625</v>
      </c>
      <c r="I28" s="148">
        <f t="shared" si="2"/>
        <v>481521</v>
      </c>
    </row>
    <row r="29" spans="1:9" ht="125.25" hidden="1" customHeight="1">
      <c r="A29" s="53" t="s">
        <v>201</v>
      </c>
      <c r="B29" s="51" t="s">
        <v>231</v>
      </c>
      <c r="C29" s="46" t="s">
        <v>247</v>
      </c>
      <c r="D29" s="148"/>
      <c r="E29" s="148"/>
      <c r="F29" s="148">
        <f t="shared" si="5"/>
        <v>0</v>
      </c>
      <c r="G29" s="148">
        <f t="shared" si="6"/>
        <v>0</v>
      </c>
      <c r="H29" s="148">
        <f t="shared" si="7"/>
        <v>0</v>
      </c>
      <c r="I29" s="148" t="str">
        <f t="shared" si="2"/>
        <v>-</v>
      </c>
    </row>
    <row r="30" spans="1:9" ht="76.5" customHeight="1">
      <c r="A30" s="53" t="s">
        <v>481</v>
      </c>
      <c r="B30" s="51" t="s">
        <v>231</v>
      </c>
      <c r="C30" s="46" t="s">
        <v>248</v>
      </c>
      <c r="D30" s="148">
        <f>D31+D33+D32</f>
        <v>6513</v>
      </c>
      <c r="E30" s="148">
        <f>E31+E33+E32</f>
        <v>0</v>
      </c>
      <c r="F30" s="148">
        <f t="shared" si="5"/>
        <v>0</v>
      </c>
      <c r="G30" s="148">
        <f t="shared" si="6"/>
        <v>0</v>
      </c>
      <c r="H30" s="148">
        <f t="shared" si="7"/>
        <v>0</v>
      </c>
      <c r="I30" s="148">
        <f t="shared" si="2"/>
        <v>6513</v>
      </c>
    </row>
    <row r="31" spans="1:9" ht="76.5" customHeight="1">
      <c r="A31" s="53" t="s">
        <v>305</v>
      </c>
      <c r="B31" s="51" t="s">
        <v>231</v>
      </c>
      <c r="C31" s="46" t="s">
        <v>249</v>
      </c>
      <c r="D31" s="148">
        <v>6513</v>
      </c>
      <c r="E31" s="148">
        <v>0</v>
      </c>
      <c r="F31" s="148">
        <f t="shared" si="5"/>
        <v>0</v>
      </c>
      <c r="G31" s="148">
        <f t="shared" si="6"/>
        <v>0</v>
      </c>
      <c r="H31" s="148">
        <f t="shared" si="7"/>
        <v>0</v>
      </c>
      <c r="I31" s="148">
        <f t="shared" si="2"/>
        <v>6513</v>
      </c>
    </row>
    <row r="32" spans="1:9" ht="79.5" hidden="1" customHeight="1">
      <c r="A32" s="53" t="s">
        <v>202</v>
      </c>
      <c r="B32" s="51" t="s">
        <v>231</v>
      </c>
      <c r="C32" s="46" t="s">
        <v>250</v>
      </c>
      <c r="D32" s="148"/>
      <c r="E32" s="148"/>
      <c r="F32" s="148">
        <f t="shared" si="5"/>
        <v>0</v>
      </c>
      <c r="G32" s="148">
        <f t="shared" si="6"/>
        <v>0</v>
      </c>
      <c r="H32" s="148">
        <f t="shared" si="7"/>
        <v>0</v>
      </c>
      <c r="I32" s="148" t="str">
        <f t="shared" si="2"/>
        <v>-</v>
      </c>
    </row>
    <row r="33" spans="1:9" ht="84.75" hidden="1" customHeight="1">
      <c r="A33" s="53" t="s">
        <v>202</v>
      </c>
      <c r="B33" s="51" t="s">
        <v>231</v>
      </c>
      <c r="C33" s="46" t="s">
        <v>251</v>
      </c>
      <c r="D33" s="148"/>
      <c r="E33" s="148"/>
      <c r="F33" s="148">
        <f t="shared" si="5"/>
        <v>0</v>
      </c>
      <c r="G33" s="148">
        <f t="shared" si="6"/>
        <v>0</v>
      </c>
      <c r="H33" s="148">
        <f t="shared" si="7"/>
        <v>0</v>
      </c>
      <c r="I33" s="148" t="str">
        <f t="shared" si="2"/>
        <v>-</v>
      </c>
    </row>
    <row r="34" spans="1:9" ht="59.25" customHeight="1">
      <c r="A34" s="47" t="s">
        <v>203</v>
      </c>
      <c r="B34" s="48" t="s">
        <v>231</v>
      </c>
      <c r="C34" s="49" t="s">
        <v>252</v>
      </c>
      <c r="D34" s="147">
        <f>D35</f>
        <v>107200</v>
      </c>
      <c r="E34" s="147">
        <f>E35</f>
        <v>21850.850000000002</v>
      </c>
      <c r="F34" s="147">
        <f t="shared" si="5"/>
        <v>0</v>
      </c>
      <c r="G34" s="147">
        <f t="shared" si="6"/>
        <v>0</v>
      </c>
      <c r="H34" s="148">
        <f t="shared" si="7"/>
        <v>21850.850000000002</v>
      </c>
      <c r="I34" s="147">
        <f t="shared" si="2"/>
        <v>85349.15</v>
      </c>
    </row>
    <row r="35" spans="1:9" ht="47.25" customHeight="1">
      <c r="A35" s="50" t="s">
        <v>204</v>
      </c>
      <c r="B35" s="51" t="s">
        <v>231</v>
      </c>
      <c r="C35" s="46" t="s">
        <v>253</v>
      </c>
      <c r="D35" s="148">
        <f>D36+D37+D38+D39</f>
        <v>107200</v>
      </c>
      <c r="E35" s="148">
        <f>E36+E37+E38+E39</f>
        <v>21850.850000000002</v>
      </c>
      <c r="F35" s="148">
        <f t="shared" si="5"/>
        <v>0</v>
      </c>
      <c r="G35" s="148">
        <f t="shared" si="6"/>
        <v>0</v>
      </c>
      <c r="H35" s="148">
        <f t="shared" si="7"/>
        <v>21850.850000000002</v>
      </c>
      <c r="I35" s="148">
        <f t="shared" si="2"/>
        <v>85349.15</v>
      </c>
    </row>
    <row r="36" spans="1:9" ht="87.75" customHeight="1">
      <c r="A36" s="50" t="s">
        <v>300</v>
      </c>
      <c r="B36" s="51" t="s">
        <v>231</v>
      </c>
      <c r="C36" s="46" t="s">
        <v>254</v>
      </c>
      <c r="D36" s="148">
        <v>34200</v>
      </c>
      <c r="E36" s="148">
        <v>7600.64</v>
      </c>
      <c r="F36" s="148">
        <f t="shared" si="5"/>
        <v>0</v>
      </c>
      <c r="G36" s="148">
        <f t="shared" si="6"/>
        <v>0</v>
      </c>
      <c r="H36" s="148">
        <f t="shared" si="7"/>
        <v>7600.64</v>
      </c>
      <c r="I36" s="148">
        <f t="shared" si="2"/>
        <v>26599.360000000001</v>
      </c>
    </row>
    <row r="37" spans="1:9" ht="100.5" customHeight="1">
      <c r="A37" s="54" t="s">
        <v>301</v>
      </c>
      <c r="B37" s="51" t="s">
        <v>231</v>
      </c>
      <c r="C37" s="46" t="s">
        <v>255</v>
      </c>
      <c r="D37" s="148">
        <v>700</v>
      </c>
      <c r="E37" s="148">
        <v>132.76</v>
      </c>
      <c r="F37" s="148">
        <f t="shared" si="5"/>
        <v>0</v>
      </c>
      <c r="G37" s="148">
        <f t="shared" si="6"/>
        <v>0</v>
      </c>
      <c r="H37" s="148">
        <f t="shared" si="7"/>
        <v>132.76</v>
      </c>
      <c r="I37" s="148">
        <f t="shared" si="2"/>
        <v>567.24</v>
      </c>
    </row>
    <row r="38" spans="1:9" ht="81.75" customHeight="1">
      <c r="A38" s="50" t="s">
        <v>302</v>
      </c>
      <c r="B38" s="51" t="s">
        <v>231</v>
      </c>
      <c r="C38" s="46" t="s">
        <v>256</v>
      </c>
      <c r="D38" s="148">
        <v>79200</v>
      </c>
      <c r="E38" s="148">
        <v>15484.04</v>
      </c>
      <c r="F38" s="148">
        <f t="shared" si="5"/>
        <v>0</v>
      </c>
      <c r="G38" s="148">
        <f t="shared" si="6"/>
        <v>0</v>
      </c>
      <c r="H38" s="148">
        <f t="shared" si="7"/>
        <v>15484.04</v>
      </c>
      <c r="I38" s="148">
        <f t="shared" si="2"/>
        <v>63715.96</v>
      </c>
    </row>
    <row r="39" spans="1:9" ht="77.25" customHeight="1">
      <c r="A39" s="50" t="s">
        <v>303</v>
      </c>
      <c r="B39" s="51" t="s">
        <v>231</v>
      </c>
      <c r="C39" s="46" t="s">
        <v>257</v>
      </c>
      <c r="D39" s="148">
        <v>-6900</v>
      </c>
      <c r="E39" s="148">
        <v>-1366.59</v>
      </c>
      <c r="F39" s="148">
        <f t="shared" si="5"/>
        <v>0</v>
      </c>
      <c r="G39" s="148">
        <f t="shared" si="6"/>
        <v>0</v>
      </c>
      <c r="H39" s="148">
        <f t="shared" si="7"/>
        <v>-1366.59</v>
      </c>
      <c r="I39" s="148">
        <f>D39-E39</f>
        <v>-5533.41</v>
      </c>
    </row>
    <row r="40" spans="1:9" ht="15">
      <c r="A40" s="47" t="s">
        <v>205</v>
      </c>
      <c r="B40" s="48" t="s">
        <v>231</v>
      </c>
      <c r="C40" s="49" t="s">
        <v>258</v>
      </c>
      <c r="D40" s="147">
        <f>D41+D46</f>
        <v>48461</v>
      </c>
      <c r="E40" s="147">
        <f>E41+E46</f>
        <v>6799.6799999999994</v>
      </c>
      <c r="F40" s="148">
        <f t="shared" si="5"/>
        <v>0</v>
      </c>
      <c r="G40" s="148">
        <f t="shared" si="6"/>
        <v>0</v>
      </c>
      <c r="H40" s="148">
        <f t="shared" si="7"/>
        <v>6799.6799999999994</v>
      </c>
      <c r="I40" s="147">
        <f t="shared" ref="I40:I65" si="8">IF(OR(D40="-",E40=D40),"-",D40-IF(E40="-",0,E40))</f>
        <v>41661.32</v>
      </c>
    </row>
    <row r="41" spans="1:9" ht="15">
      <c r="A41" s="47" t="s">
        <v>206</v>
      </c>
      <c r="B41" s="48" t="s">
        <v>231</v>
      </c>
      <c r="C41" s="49" t="s">
        <v>259</v>
      </c>
      <c r="D41" s="147">
        <f>D42</f>
        <v>42273</v>
      </c>
      <c r="E41" s="147">
        <f>E42</f>
        <v>6341.78</v>
      </c>
      <c r="F41" s="148">
        <f t="shared" si="5"/>
        <v>0</v>
      </c>
      <c r="G41" s="148">
        <f t="shared" si="6"/>
        <v>0</v>
      </c>
      <c r="H41" s="148">
        <f t="shared" si="7"/>
        <v>6341.78</v>
      </c>
      <c r="I41" s="147">
        <f t="shared" si="8"/>
        <v>35931.22</v>
      </c>
    </row>
    <row r="42" spans="1:9" ht="54" customHeight="1">
      <c r="A42" s="50" t="s">
        <v>207</v>
      </c>
      <c r="B42" s="51" t="s">
        <v>231</v>
      </c>
      <c r="C42" s="46" t="s">
        <v>260</v>
      </c>
      <c r="D42" s="148">
        <f t="shared" si="5"/>
        <v>42273</v>
      </c>
      <c r="E42" s="148">
        <f t="shared" si="5"/>
        <v>6341.78</v>
      </c>
      <c r="F42" s="148">
        <f t="shared" si="5"/>
        <v>0</v>
      </c>
      <c r="G42" s="148">
        <f t="shared" si="6"/>
        <v>0</v>
      </c>
      <c r="H42" s="148">
        <f t="shared" si="7"/>
        <v>6341.78</v>
      </c>
      <c r="I42" s="148">
        <f t="shared" si="8"/>
        <v>35931.22</v>
      </c>
    </row>
    <row r="43" spans="1:9" ht="86.25" customHeight="1">
      <c r="A43" s="50" t="s">
        <v>293</v>
      </c>
      <c r="B43" s="51" t="s">
        <v>231</v>
      </c>
      <c r="C43" s="46" t="s">
        <v>261</v>
      </c>
      <c r="D43" s="148">
        <v>42273</v>
      </c>
      <c r="E43" s="148">
        <v>6341.78</v>
      </c>
      <c r="F43" s="148">
        <f t="shared" si="5"/>
        <v>0</v>
      </c>
      <c r="G43" s="148">
        <f t="shared" si="6"/>
        <v>0</v>
      </c>
      <c r="H43" s="148">
        <f t="shared" si="7"/>
        <v>6341.78</v>
      </c>
      <c r="I43" s="148">
        <f t="shared" si="8"/>
        <v>35931.22</v>
      </c>
    </row>
    <row r="44" spans="1:9" ht="57.75" hidden="1" customHeight="1">
      <c r="A44" s="50" t="s">
        <v>208</v>
      </c>
      <c r="B44" s="51" t="s">
        <v>231</v>
      </c>
      <c r="C44" s="46" t="s">
        <v>286</v>
      </c>
      <c r="D44" s="148"/>
      <c r="E44" s="148"/>
      <c r="F44" s="148">
        <f t="shared" si="5"/>
        <v>0</v>
      </c>
      <c r="G44" s="148">
        <f t="shared" si="6"/>
        <v>0</v>
      </c>
      <c r="H44" s="148">
        <f t="shared" si="7"/>
        <v>0</v>
      </c>
      <c r="I44" s="148" t="str">
        <f t="shared" si="8"/>
        <v>-</v>
      </c>
    </row>
    <row r="45" spans="1:9" ht="53.25" hidden="1" customHeight="1">
      <c r="A45" s="50" t="s">
        <v>209</v>
      </c>
      <c r="B45" s="51" t="s">
        <v>231</v>
      </c>
      <c r="C45" s="46" t="s">
        <v>262</v>
      </c>
      <c r="D45" s="148"/>
      <c r="E45" s="148">
        <v>0</v>
      </c>
      <c r="F45" s="148">
        <f t="shared" si="5"/>
        <v>0</v>
      </c>
      <c r="G45" s="148">
        <f t="shared" si="6"/>
        <v>0</v>
      </c>
      <c r="H45" s="148">
        <f t="shared" si="7"/>
        <v>0</v>
      </c>
      <c r="I45" s="148" t="str">
        <f t="shared" si="8"/>
        <v>-</v>
      </c>
    </row>
    <row r="46" spans="1:9" ht="18.75" customHeight="1">
      <c r="A46" s="47" t="s">
        <v>210</v>
      </c>
      <c r="B46" s="48" t="s">
        <v>231</v>
      </c>
      <c r="C46" s="49" t="s">
        <v>263</v>
      </c>
      <c r="D46" s="147">
        <f>D48+D50+D49+D51+D52</f>
        <v>6188</v>
      </c>
      <c r="E46" s="147">
        <f>E48+E50+E49+E51+E52</f>
        <v>457.9</v>
      </c>
      <c r="F46" s="147">
        <f t="shared" si="5"/>
        <v>0</v>
      </c>
      <c r="G46" s="147">
        <f t="shared" si="6"/>
        <v>0</v>
      </c>
      <c r="H46" s="148">
        <f t="shared" si="7"/>
        <v>457.9</v>
      </c>
      <c r="I46" s="147">
        <f t="shared" si="8"/>
        <v>5730.1</v>
      </c>
    </row>
    <row r="47" spans="1:9" ht="78" hidden="1" customHeight="1">
      <c r="A47" s="50" t="s">
        <v>211</v>
      </c>
      <c r="B47" s="51" t="s">
        <v>231</v>
      </c>
      <c r="C47" s="46" t="s">
        <v>264</v>
      </c>
      <c r="D47" s="148"/>
      <c r="E47" s="148"/>
      <c r="F47" s="148">
        <f t="shared" si="5"/>
        <v>0</v>
      </c>
      <c r="G47" s="148">
        <f t="shared" si="6"/>
        <v>0</v>
      </c>
      <c r="H47" s="148">
        <f t="shared" si="7"/>
        <v>0</v>
      </c>
      <c r="I47" s="148" t="str">
        <f t="shared" si="8"/>
        <v>-</v>
      </c>
    </row>
    <row r="48" spans="1:9" ht="85.5" customHeight="1">
      <c r="A48" s="54" t="s">
        <v>294</v>
      </c>
      <c r="B48" s="51" t="s">
        <v>231</v>
      </c>
      <c r="C48" s="46" t="s">
        <v>285</v>
      </c>
      <c r="D48" s="148">
        <v>470</v>
      </c>
      <c r="E48" s="148">
        <v>182.84</v>
      </c>
      <c r="F48" s="148">
        <f>F49+F50+F51</f>
        <v>0</v>
      </c>
      <c r="G48" s="148">
        <f t="shared" si="6"/>
        <v>0</v>
      </c>
      <c r="H48" s="148">
        <f t="shared" si="7"/>
        <v>182.84</v>
      </c>
      <c r="I48" s="148">
        <f t="shared" si="8"/>
        <v>287.15999999999997</v>
      </c>
    </row>
    <row r="49" spans="1:9" ht="60" customHeight="1">
      <c r="A49" s="54" t="s">
        <v>295</v>
      </c>
      <c r="B49" s="51" t="s">
        <v>231</v>
      </c>
      <c r="C49" s="46" t="s">
        <v>496</v>
      </c>
      <c r="D49" s="148">
        <v>0</v>
      </c>
      <c r="E49" s="148">
        <v>200</v>
      </c>
      <c r="F49" s="148">
        <f t="shared" si="5"/>
        <v>0</v>
      </c>
      <c r="G49" s="148">
        <f t="shared" si="6"/>
        <v>0</v>
      </c>
      <c r="H49" s="148">
        <f t="shared" si="7"/>
        <v>200</v>
      </c>
      <c r="I49" s="148">
        <f t="shared" si="8"/>
        <v>-200</v>
      </c>
    </row>
    <row r="50" spans="1:9" ht="82.5" customHeight="1">
      <c r="A50" s="54" t="s">
        <v>291</v>
      </c>
      <c r="B50" s="51" t="s">
        <v>231</v>
      </c>
      <c r="C50" s="46" t="s">
        <v>287</v>
      </c>
      <c r="D50" s="148">
        <v>5718</v>
      </c>
      <c r="E50" s="148">
        <v>75.06</v>
      </c>
      <c r="F50" s="148">
        <f t="shared" si="5"/>
        <v>0</v>
      </c>
      <c r="G50" s="148">
        <f t="shared" si="6"/>
        <v>0</v>
      </c>
      <c r="H50" s="148">
        <f t="shared" si="7"/>
        <v>75.06</v>
      </c>
      <c r="I50" s="148">
        <f t="shared" si="8"/>
        <v>5642.94</v>
      </c>
    </row>
    <row r="51" spans="1:9" ht="60" hidden="1" customHeight="1">
      <c r="A51" s="54" t="s">
        <v>292</v>
      </c>
      <c r="B51" s="51" t="s">
        <v>231</v>
      </c>
      <c r="C51" s="46" t="s">
        <v>288</v>
      </c>
      <c r="D51" s="148">
        <v>0</v>
      </c>
      <c r="E51" s="148">
        <v>0</v>
      </c>
      <c r="F51" s="148">
        <f t="shared" si="5"/>
        <v>0</v>
      </c>
      <c r="G51" s="148">
        <f t="shared" si="6"/>
        <v>0</v>
      </c>
      <c r="H51" s="148">
        <f t="shared" si="7"/>
        <v>0</v>
      </c>
      <c r="I51" s="148" t="str">
        <f t="shared" si="8"/>
        <v>-</v>
      </c>
    </row>
    <row r="52" spans="1:9" ht="49.5" hidden="1" customHeight="1">
      <c r="A52" s="54" t="s">
        <v>310</v>
      </c>
      <c r="B52" s="51" t="s">
        <v>231</v>
      </c>
      <c r="C52" s="46" t="s">
        <v>311</v>
      </c>
      <c r="D52" s="148"/>
      <c r="E52" s="148">
        <v>0</v>
      </c>
      <c r="F52" s="148">
        <f t="shared" si="5"/>
        <v>0</v>
      </c>
      <c r="G52" s="148">
        <f t="shared" si="6"/>
        <v>0</v>
      </c>
      <c r="H52" s="148">
        <f t="shared" si="7"/>
        <v>0</v>
      </c>
      <c r="I52" s="148" t="str">
        <f t="shared" si="8"/>
        <v>-</v>
      </c>
    </row>
    <row r="53" spans="1:9" ht="15">
      <c r="A53" s="47" t="s">
        <v>212</v>
      </c>
      <c r="B53" s="48" t="s">
        <v>231</v>
      </c>
      <c r="C53" s="49" t="s">
        <v>265</v>
      </c>
      <c r="D53" s="147">
        <f t="shared" ref="D53:E55" si="9">D54</f>
        <v>17500</v>
      </c>
      <c r="E53" s="147">
        <f t="shared" si="9"/>
        <v>1100</v>
      </c>
      <c r="F53" s="147">
        <f t="shared" si="5"/>
        <v>0</v>
      </c>
      <c r="G53" s="147">
        <f t="shared" si="6"/>
        <v>0</v>
      </c>
      <c r="H53" s="148">
        <f t="shared" si="7"/>
        <v>1100</v>
      </c>
      <c r="I53" s="147">
        <f t="shared" si="8"/>
        <v>16400</v>
      </c>
    </row>
    <row r="54" spans="1:9" ht="60" customHeight="1">
      <c r="A54" s="50" t="s">
        <v>213</v>
      </c>
      <c r="B54" s="51" t="s">
        <v>231</v>
      </c>
      <c r="C54" s="46" t="s">
        <v>266</v>
      </c>
      <c r="D54" s="148">
        <f t="shared" si="9"/>
        <v>17500</v>
      </c>
      <c r="E54" s="148">
        <f t="shared" si="9"/>
        <v>1100</v>
      </c>
      <c r="F54" s="148">
        <f t="shared" si="5"/>
        <v>0</v>
      </c>
      <c r="G54" s="148">
        <f t="shared" si="6"/>
        <v>0</v>
      </c>
      <c r="H54" s="148">
        <f t="shared" si="7"/>
        <v>1100</v>
      </c>
      <c r="I54" s="148">
        <f t="shared" si="8"/>
        <v>16400</v>
      </c>
    </row>
    <row r="55" spans="1:9" ht="81" customHeight="1">
      <c r="A55" s="50" t="s">
        <v>214</v>
      </c>
      <c r="B55" s="51" t="s">
        <v>231</v>
      </c>
      <c r="C55" s="46" t="s">
        <v>267</v>
      </c>
      <c r="D55" s="148">
        <f t="shared" si="9"/>
        <v>17500</v>
      </c>
      <c r="E55" s="148">
        <f t="shared" si="9"/>
        <v>1100</v>
      </c>
      <c r="F55" s="148">
        <f t="shared" si="5"/>
        <v>0</v>
      </c>
      <c r="G55" s="148">
        <f t="shared" si="6"/>
        <v>0</v>
      </c>
      <c r="H55" s="148">
        <f t="shared" si="7"/>
        <v>1100</v>
      </c>
      <c r="I55" s="148">
        <f t="shared" si="8"/>
        <v>16400</v>
      </c>
    </row>
    <row r="56" spans="1:9" ht="90" customHeight="1">
      <c r="A56" s="50" t="s">
        <v>215</v>
      </c>
      <c r="B56" s="51" t="s">
        <v>231</v>
      </c>
      <c r="C56" s="46" t="s">
        <v>268</v>
      </c>
      <c r="D56" s="148">
        <v>17500</v>
      </c>
      <c r="E56" s="148">
        <v>1100</v>
      </c>
      <c r="F56" s="148">
        <f t="shared" si="5"/>
        <v>0</v>
      </c>
      <c r="G56" s="148">
        <f t="shared" si="6"/>
        <v>0</v>
      </c>
      <c r="H56" s="148">
        <f t="shared" si="7"/>
        <v>1100</v>
      </c>
      <c r="I56" s="148">
        <f t="shared" si="8"/>
        <v>16400</v>
      </c>
    </row>
    <row r="57" spans="1:9" ht="50.25" hidden="1" customHeight="1">
      <c r="A57" s="50" t="s">
        <v>290</v>
      </c>
      <c r="B57" s="51"/>
      <c r="C57" s="46" t="s">
        <v>296</v>
      </c>
      <c r="D57" s="148"/>
      <c r="E57" s="148"/>
      <c r="F57" s="148">
        <f t="shared" si="5"/>
        <v>0</v>
      </c>
      <c r="G57" s="148">
        <f t="shared" si="6"/>
        <v>0</v>
      </c>
      <c r="H57" s="148">
        <f t="shared" si="7"/>
        <v>0</v>
      </c>
      <c r="I57" s="148" t="str">
        <f t="shared" si="8"/>
        <v>-</v>
      </c>
    </row>
    <row r="58" spans="1:9" ht="50.25" hidden="1" customHeight="1">
      <c r="A58" s="50" t="s">
        <v>307</v>
      </c>
      <c r="B58" s="51"/>
      <c r="C58" s="46" t="s">
        <v>306</v>
      </c>
      <c r="D58" s="148"/>
      <c r="E58" s="148"/>
      <c r="F58" s="148">
        <f t="shared" si="5"/>
        <v>0</v>
      </c>
      <c r="G58" s="148">
        <f t="shared" si="6"/>
        <v>0</v>
      </c>
      <c r="H58" s="148">
        <f t="shared" si="7"/>
        <v>0</v>
      </c>
      <c r="I58" s="148">
        <f>D58-E58</f>
        <v>0</v>
      </c>
    </row>
    <row r="59" spans="1:9" ht="72.75" hidden="1" customHeight="1">
      <c r="A59" s="50" t="s">
        <v>331</v>
      </c>
      <c r="B59" s="51"/>
      <c r="C59" s="46" t="s">
        <v>309</v>
      </c>
      <c r="D59" s="148"/>
      <c r="E59" s="148"/>
      <c r="F59" s="148">
        <f t="shared" si="5"/>
        <v>0</v>
      </c>
      <c r="G59" s="148">
        <f t="shared" si="6"/>
        <v>0</v>
      </c>
      <c r="H59" s="148">
        <f t="shared" si="7"/>
        <v>0</v>
      </c>
      <c r="I59" s="148" t="str">
        <f t="shared" si="8"/>
        <v>-</v>
      </c>
    </row>
    <row r="60" spans="1:9" ht="33" hidden="1" customHeight="1">
      <c r="A60" s="50" t="s">
        <v>308</v>
      </c>
      <c r="B60" s="51"/>
      <c r="C60" s="46" t="s">
        <v>271</v>
      </c>
      <c r="D60" s="148"/>
      <c r="E60" s="148"/>
      <c r="F60" s="148">
        <f t="shared" si="5"/>
        <v>0</v>
      </c>
      <c r="G60" s="148">
        <f t="shared" si="6"/>
        <v>0</v>
      </c>
      <c r="H60" s="148">
        <f t="shared" si="7"/>
        <v>0</v>
      </c>
      <c r="I60" s="148" t="str">
        <f t="shared" si="8"/>
        <v>-</v>
      </c>
    </row>
    <row r="61" spans="1:9" ht="33" hidden="1" customHeight="1">
      <c r="A61" s="110" t="s">
        <v>289</v>
      </c>
      <c r="B61" s="51"/>
      <c r="C61" s="46" t="s">
        <v>297</v>
      </c>
      <c r="D61" s="148">
        <v>0</v>
      </c>
      <c r="E61" s="148">
        <v>0</v>
      </c>
      <c r="F61" s="148">
        <f t="shared" si="5"/>
        <v>0</v>
      </c>
      <c r="G61" s="148">
        <f t="shared" si="6"/>
        <v>0</v>
      </c>
      <c r="H61" s="148">
        <f t="shared" si="7"/>
        <v>0</v>
      </c>
      <c r="I61" s="148" t="str">
        <f t="shared" si="8"/>
        <v>-</v>
      </c>
    </row>
    <row r="62" spans="1:9" ht="44.25" hidden="1" customHeight="1">
      <c r="A62" s="47" t="s">
        <v>216</v>
      </c>
      <c r="B62" s="48"/>
      <c r="C62" s="49" t="s">
        <v>269</v>
      </c>
      <c r="D62" s="147">
        <f>5800-5800</f>
        <v>0</v>
      </c>
      <c r="E62" s="147">
        <v>0</v>
      </c>
      <c r="F62" s="147">
        <f t="shared" si="5"/>
        <v>0</v>
      </c>
      <c r="G62" s="147">
        <f t="shared" si="6"/>
        <v>0</v>
      </c>
      <c r="H62" s="148">
        <f t="shared" si="7"/>
        <v>0</v>
      </c>
      <c r="I62" s="148" t="str">
        <f t="shared" si="8"/>
        <v>-</v>
      </c>
    </row>
    <row r="63" spans="1:9" ht="12.75" hidden="1" customHeight="1">
      <c r="A63" s="50" t="s">
        <v>217</v>
      </c>
      <c r="B63" s="51"/>
      <c r="C63" s="46" t="s">
        <v>270</v>
      </c>
      <c r="D63" s="148"/>
      <c r="E63" s="148"/>
      <c r="F63" s="148">
        <f t="shared" si="5"/>
        <v>0</v>
      </c>
      <c r="G63" s="148">
        <f t="shared" si="6"/>
        <v>0</v>
      </c>
      <c r="H63" s="148">
        <f t="shared" si="7"/>
        <v>0</v>
      </c>
      <c r="I63" s="148" t="str">
        <f t="shared" si="8"/>
        <v>-</v>
      </c>
    </row>
    <row r="64" spans="1:9" ht="12.75" customHeight="1">
      <c r="A64" s="50" t="s">
        <v>218</v>
      </c>
      <c r="B64" s="51"/>
      <c r="C64" s="46" t="s">
        <v>271</v>
      </c>
      <c r="D64" s="148">
        <v>0</v>
      </c>
      <c r="E64" s="148">
        <v>7280</v>
      </c>
      <c r="F64" s="148">
        <f t="shared" si="5"/>
        <v>0</v>
      </c>
      <c r="G64" s="148">
        <f t="shared" si="6"/>
        <v>0</v>
      </c>
      <c r="H64" s="148">
        <f t="shared" si="7"/>
        <v>7280</v>
      </c>
      <c r="I64" s="148">
        <f t="shared" si="8"/>
        <v>-7280</v>
      </c>
    </row>
    <row r="65" spans="1:9" ht="25.5" hidden="1">
      <c r="A65" s="50" t="s">
        <v>219</v>
      </c>
      <c r="B65" s="51"/>
      <c r="C65" s="46" t="s">
        <v>272</v>
      </c>
      <c r="D65" s="148"/>
      <c r="E65" s="148"/>
      <c r="F65" s="148">
        <f t="shared" si="5"/>
        <v>0</v>
      </c>
      <c r="G65" s="148">
        <f t="shared" si="6"/>
        <v>0</v>
      </c>
      <c r="H65" s="148">
        <f t="shared" si="7"/>
        <v>0</v>
      </c>
      <c r="I65" s="148" t="str">
        <f t="shared" si="8"/>
        <v>-</v>
      </c>
    </row>
    <row r="66" spans="1:9" ht="27" customHeight="1">
      <c r="A66" s="47" t="s">
        <v>220</v>
      </c>
      <c r="B66" s="48" t="s">
        <v>231</v>
      </c>
      <c r="C66" s="49" t="s">
        <v>273</v>
      </c>
      <c r="D66" s="147">
        <f>D67</f>
        <v>8462668</v>
      </c>
      <c r="E66" s="147">
        <f t="shared" ref="E66" si="10">E67</f>
        <v>1464000</v>
      </c>
      <c r="F66" s="147">
        <f t="shared" si="5"/>
        <v>0</v>
      </c>
      <c r="G66" s="147">
        <f t="shared" si="6"/>
        <v>0</v>
      </c>
      <c r="H66" s="148">
        <f t="shared" si="7"/>
        <v>1464000</v>
      </c>
      <c r="I66" s="147">
        <f t="shared" ref="I66:I67" si="11">IF(OR(D66="-",E66=D66),"-",D66-IF(E66="-",0,E66))</f>
        <v>6998668</v>
      </c>
    </row>
    <row r="67" spans="1:9" ht="47.25" customHeight="1">
      <c r="A67" s="50" t="s">
        <v>221</v>
      </c>
      <c r="B67" s="51" t="s">
        <v>231</v>
      </c>
      <c r="C67" s="46" t="s">
        <v>274</v>
      </c>
      <c r="D67" s="148">
        <f>D68+D71+D78</f>
        <v>8462668</v>
      </c>
      <c r="E67" s="148">
        <f>E68+E71+E78+E83</f>
        <v>1464000</v>
      </c>
      <c r="F67" s="148">
        <f t="shared" si="5"/>
        <v>0</v>
      </c>
      <c r="G67" s="148">
        <f t="shared" si="6"/>
        <v>0</v>
      </c>
      <c r="H67" s="148">
        <f t="shared" si="7"/>
        <v>1464000</v>
      </c>
      <c r="I67" s="148">
        <f t="shared" si="11"/>
        <v>6998668</v>
      </c>
    </row>
    <row r="68" spans="1:9" ht="25.5">
      <c r="A68" s="50" t="s">
        <v>222</v>
      </c>
      <c r="B68" s="51" t="s">
        <v>231</v>
      </c>
      <c r="C68" s="46" t="s">
        <v>275</v>
      </c>
      <c r="D68" s="148">
        <f>D69</f>
        <v>4389630</v>
      </c>
      <c r="E68" s="148">
        <f t="shared" ref="E68:I68" si="12">E69</f>
        <v>1367120</v>
      </c>
      <c r="F68" s="148">
        <f t="shared" si="5"/>
        <v>0</v>
      </c>
      <c r="G68" s="148">
        <f t="shared" si="6"/>
        <v>0</v>
      </c>
      <c r="H68" s="148">
        <f t="shared" si="7"/>
        <v>1367120</v>
      </c>
      <c r="I68" s="148">
        <f t="shared" si="12"/>
        <v>3022510</v>
      </c>
    </row>
    <row r="69" spans="1:9" ht="25.5">
      <c r="A69" s="50" t="s">
        <v>223</v>
      </c>
      <c r="B69" s="51" t="s">
        <v>231</v>
      </c>
      <c r="C69" s="46" t="s">
        <v>276</v>
      </c>
      <c r="D69" s="148">
        <f>D70</f>
        <v>4389630</v>
      </c>
      <c r="E69" s="148">
        <f>E70</f>
        <v>1367120</v>
      </c>
      <c r="F69" s="148">
        <f t="shared" si="5"/>
        <v>0</v>
      </c>
      <c r="G69" s="148">
        <f t="shared" si="6"/>
        <v>0</v>
      </c>
      <c r="H69" s="148">
        <f t="shared" si="7"/>
        <v>1367120</v>
      </c>
      <c r="I69" s="148">
        <f t="shared" ref="I69:I87" si="13">IF(OR(D69="-",E69=D69),"-",D69-IF(E69="-",0,E69))</f>
        <v>3022510</v>
      </c>
    </row>
    <row r="70" spans="1:9" ht="25.5">
      <c r="A70" s="50" t="s">
        <v>224</v>
      </c>
      <c r="B70" s="51" t="s">
        <v>231</v>
      </c>
      <c r="C70" s="46" t="s">
        <v>277</v>
      </c>
      <c r="D70" s="148">
        <v>4389630</v>
      </c>
      <c r="E70" s="148">
        <v>1367120</v>
      </c>
      <c r="F70" s="148">
        <f t="shared" si="5"/>
        <v>0</v>
      </c>
      <c r="G70" s="148">
        <f t="shared" si="6"/>
        <v>0</v>
      </c>
      <c r="H70" s="148">
        <f t="shared" si="7"/>
        <v>1367120</v>
      </c>
      <c r="I70" s="148">
        <f t="shared" si="13"/>
        <v>3022510</v>
      </c>
    </row>
    <row r="71" spans="1:9" ht="18.75" customHeight="1">
      <c r="A71" s="50" t="s">
        <v>322</v>
      </c>
      <c r="B71" s="51"/>
      <c r="C71" s="46" t="s">
        <v>323</v>
      </c>
      <c r="D71" s="148">
        <f>D72</f>
        <v>3971278</v>
      </c>
      <c r="E71" s="148">
        <f t="shared" ref="E71:E72" si="14">E72</f>
        <v>0</v>
      </c>
      <c r="F71" s="148">
        <f t="shared" si="5"/>
        <v>0</v>
      </c>
      <c r="G71" s="148">
        <f t="shared" si="6"/>
        <v>0</v>
      </c>
      <c r="H71" s="148">
        <f t="shared" si="7"/>
        <v>0</v>
      </c>
      <c r="I71" s="148">
        <f t="shared" si="13"/>
        <v>3971278</v>
      </c>
    </row>
    <row r="72" spans="1:9" ht="25.5">
      <c r="A72" s="50" t="s">
        <v>320</v>
      </c>
      <c r="B72" s="51"/>
      <c r="C72" s="46" t="s">
        <v>321</v>
      </c>
      <c r="D72" s="148">
        <f>D73</f>
        <v>3971278</v>
      </c>
      <c r="E72" s="148">
        <f t="shared" si="14"/>
        <v>0</v>
      </c>
      <c r="F72" s="148">
        <f>F73+F74+F76</f>
        <v>0</v>
      </c>
      <c r="G72" s="148">
        <f>G73+G74+G76</f>
        <v>0</v>
      </c>
      <c r="H72" s="148">
        <f t="shared" si="7"/>
        <v>0</v>
      </c>
      <c r="I72" s="148">
        <f t="shared" si="13"/>
        <v>3971278</v>
      </c>
    </row>
    <row r="73" spans="1:9" ht="25.5">
      <c r="A73" s="50" t="s">
        <v>318</v>
      </c>
      <c r="B73" s="51" t="s">
        <v>231</v>
      </c>
      <c r="C73" s="46" t="s">
        <v>319</v>
      </c>
      <c r="D73" s="148">
        <f>D74+D76+D77+D75</f>
        <v>3971278</v>
      </c>
      <c r="E73" s="148">
        <f t="shared" ref="E73" si="15">E74+E76+E77</f>
        <v>0</v>
      </c>
      <c r="F73" s="148">
        <f>F74+F76+F77</f>
        <v>0</v>
      </c>
      <c r="G73" s="148">
        <f>G74+G76+G77</f>
        <v>0</v>
      </c>
      <c r="H73" s="148">
        <f t="shared" si="7"/>
        <v>0</v>
      </c>
      <c r="I73" s="148">
        <f t="shared" si="13"/>
        <v>3971278</v>
      </c>
    </row>
    <row r="74" spans="1:9" ht="137.25" customHeight="1">
      <c r="A74" s="55" t="s">
        <v>340</v>
      </c>
      <c r="B74" s="51" t="s">
        <v>231</v>
      </c>
      <c r="C74" s="46" t="s">
        <v>341</v>
      </c>
      <c r="D74" s="148">
        <v>3666286</v>
      </c>
      <c r="E74" s="148"/>
      <c r="F74" s="148">
        <f>F76+F77+F78</f>
        <v>0</v>
      </c>
      <c r="G74" s="148">
        <f>G76+G77+G78</f>
        <v>0</v>
      </c>
      <c r="H74" s="148">
        <f t="shared" si="7"/>
        <v>0</v>
      </c>
      <c r="I74" s="148">
        <f t="shared" si="13"/>
        <v>3666286</v>
      </c>
    </row>
    <row r="75" spans="1:9" ht="102.75" customHeight="1">
      <c r="A75" s="55" t="s">
        <v>493</v>
      </c>
      <c r="B75" s="57"/>
      <c r="C75" s="46" t="s">
        <v>494</v>
      </c>
      <c r="D75" s="148">
        <v>32000</v>
      </c>
      <c r="E75" s="148"/>
      <c r="F75" s="148">
        <f t="shared" si="5"/>
        <v>0</v>
      </c>
      <c r="G75" s="148">
        <f t="shared" si="6"/>
        <v>0</v>
      </c>
      <c r="H75" s="148">
        <f t="shared" ref="H75" si="16">E75+F75+G75</f>
        <v>0</v>
      </c>
      <c r="I75" s="148">
        <f t="shared" ref="I75" si="17">IF(OR(D75="-",E75=D75),"-",D75-IF(E75="-",0,E75))</f>
        <v>32000</v>
      </c>
    </row>
    <row r="76" spans="1:9" ht="105" customHeight="1">
      <c r="A76" s="55" t="s">
        <v>485</v>
      </c>
      <c r="B76" s="57"/>
      <c r="C76" s="46" t="s">
        <v>495</v>
      </c>
      <c r="D76" s="148">
        <v>272992</v>
      </c>
      <c r="E76" s="148"/>
      <c r="F76" s="148">
        <f t="shared" si="5"/>
        <v>0</v>
      </c>
      <c r="G76" s="148">
        <f t="shared" si="6"/>
        <v>0</v>
      </c>
      <c r="H76" s="148">
        <f t="shared" si="7"/>
        <v>0</v>
      </c>
      <c r="I76" s="148">
        <f t="shared" si="13"/>
        <v>272992</v>
      </c>
    </row>
    <row r="77" spans="1:9" ht="123" hidden="1" customHeight="1">
      <c r="A77" s="55" t="s">
        <v>334</v>
      </c>
      <c r="B77" s="57"/>
      <c r="C77" s="46" t="s">
        <v>335</v>
      </c>
      <c r="D77" s="148"/>
      <c r="E77" s="148"/>
      <c r="F77" s="148">
        <f t="shared" si="5"/>
        <v>0</v>
      </c>
      <c r="G77" s="148">
        <f t="shared" si="6"/>
        <v>0</v>
      </c>
      <c r="H77" s="148">
        <f t="shared" si="7"/>
        <v>0</v>
      </c>
      <c r="I77" s="148" t="str">
        <f t="shared" si="13"/>
        <v>-</v>
      </c>
    </row>
    <row r="78" spans="1:9" ht="39" customHeight="1">
      <c r="A78" s="55" t="s">
        <v>225</v>
      </c>
      <c r="B78" s="56"/>
      <c r="C78" s="46" t="s">
        <v>278</v>
      </c>
      <c r="D78" s="148">
        <f>D79+D82</f>
        <v>101760</v>
      </c>
      <c r="E78" s="148">
        <f t="shared" ref="E78:H78" si="18">E79+E82</f>
        <v>25130</v>
      </c>
      <c r="F78" s="148">
        <f t="shared" si="18"/>
        <v>0</v>
      </c>
      <c r="G78" s="148">
        <f t="shared" si="18"/>
        <v>0</v>
      </c>
      <c r="H78" s="148">
        <f t="shared" si="18"/>
        <v>25130</v>
      </c>
      <c r="I78" s="148">
        <f t="shared" si="13"/>
        <v>76630</v>
      </c>
    </row>
    <row r="79" spans="1:9" ht="50.25" customHeight="1">
      <c r="A79" s="55" t="s">
        <v>312</v>
      </c>
      <c r="B79" s="56"/>
      <c r="C79" s="46" t="s">
        <v>316</v>
      </c>
      <c r="D79" s="148">
        <f t="shared" ref="D79:H80" si="19">D80</f>
        <v>99900</v>
      </c>
      <c r="E79" s="148">
        <f t="shared" si="19"/>
        <v>24975</v>
      </c>
      <c r="F79" s="148">
        <f t="shared" si="19"/>
        <v>0</v>
      </c>
      <c r="G79" s="148">
        <f t="shared" si="19"/>
        <v>0</v>
      </c>
      <c r="H79" s="148">
        <f t="shared" si="19"/>
        <v>24975</v>
      </c>
      <c r="I79" s="148">
        <f t="shared" si="13"/>
        <v>74925</v>
      </c>
    </row>
    <row r="80" spans="1:9" ht="57.75" customHeight="1">
      <c r="A80" s="55" t="s">
        <v>313</v>
      </c>
      <c r="B80" s="56"/>
      <c r="C80" s="46" t="s">
        <v>315</v>
      </c>
      <c r="D80" s="148">
        <f>D81</f>
        <v>99900</v>
      </c>
      <c r="E80" s="148">
        <v>24975</v>
      </c>
      <c r="F80" s="148">
        <f t="shared" si="19"/>
        <v>0</v>
      </c>
      <c r="G80" s="148">
        <f t="shared" si="19"/>
        <v>0</v>
      </c>
      <c r="H80" s="148">
        <f t="shared" si="7"/>
        <v>24975</v>
      </c>
      <c r="I80" s="148">
        <f t="shared" si="13"/>
        <v>74925</v>
      </c>
    </row>
    <row r="81" spans="1:9" ht="49.5" customHeight="1">
      <c r="A81" s="55" t="s">
        <v>314</v>
      </c>
      <c r="B81" s="57"/>
      <c r="C81" s="46" t="s">
        <v>317</v>
      </c>
      <c r="D81" s="148">
        <v>99900</v>
      </c>
      <c r="E81" s="148">
        <f>E82</f>
        <v>155</v>
      </c>
      <c r="F81" s="148">
        <f t="shared" si="5"/>
        <v>0</v>
      </c>
      <c r="G81" s="148">
        <f t="shared" si="6"/>
        <v>0</v>
      </c>
      <c r="H81" s="148">
        <f t="shared" si="7"/>
        <v>155</v>
      </c>
      <c r="I81" s="148">
        <f t="shared" si="13"/>
        <v>99745</v>
      </c>
    </row>
    <row r="82" spans="1:9" ht="64.5" customHeight="1">
      <c r="A82" s="55" t="s">
        <v>338</v>
      </c>
      <c r="B82" s="57"/>
      <c r="C82" s="46" t="s">
        <v>339</v>
      </c>
      <c r="D82" s="148">
        <v>1860</v>
      </c>
      <c r="E82" s="148">
        <v>155</v>
      </c>
      <c r="F82" s="148">
        <f t="shared" si="5"/>
        <v>0</v>
      </c>
      <c r="G82" s="148">
        <f t="shared" si="6"/>
        <v>0</v>
      </c>
      <c r="H82" s="148">
        <f t="shared" si="7"/>
        <v>155</v>
      </c>
      <c r="I82" s="148">
        <f t="shared" si="13"/>
        <v>1705</v>
      </c>
    </row>
    <row r="83" spans="1:9" ht="54" customHeight="1">
      <c r="A83" s="58" t="s">
        <v>501</v>
      </c>
      <c r="B83" s="57"/>
      <c r="C83" s="46" t="s">
        <v>500</v>
      </c>
      <c r="D83" s="52"/>
      <c r="E83" s="52">
        <v>71750</v>
      </c>
      <c r="F83" s="52"/>
      <c r="G83" s="52"/>
      <c r="H83" s="52"/>
      <c r="I83" s="52">
        <f t="shared" si="13"/>
        <v>-71750</v>
      </c>
    </row>
    <row r="84" spans="1:9" ht="62.25" hidden="1" customHeight="1">
      <c r="A84" s="58" t="s">
        <v>226</v>
      </c>
      <c r="B84" s="57"/>
      <c r="C84" s="46" t="s">
        <v>279</v>
      </c>
      <c r="D84" s="52"/>
      <c r="E84" s="52"/>
      <c r="F84" s="52"/>
      <c r="G84" s="52"/>
      <c r="H84" s="52"/>
      <c r="I84" s="52" t="str">
        <f t="shared" si="13"/>
        <v>-</v>
      </c>
    </row>
    <row r="85" spans="1:9" ht="114" hidden="1" customHeight="1">
      <c r="A85" s="55" t="s">
        <v>227</v>
      </c>
      <c r="B85" s="57"/>
      <c r="C85" s="46" t="s">
        <v>280</v>
      </c>
      <c r="D85" s="52"/>
      <c r="E85" s="52"/>
      <c r="F85" s="52"/>
      <c r="G85" s="52"/>
      <c r="H85" s="52"/>
      <c r="I85" s="52" t="str">
        <f t="shared" si="13"/>
        <v>-</v>
      </c>
    </row>
    <row r="86" spans="1:9" ht="144.75" hidden="1" customHeight="1">
      <c r="A86" s="55" t="s">
        <v>228</v>
      </c>
      <c r="B86" s="57"/>
      <c r="C86" s="46" t="s">
        <v>281</v>
      </c>
      <c r="D86" s="52"/>
      <c r="E86" s="52"/>
      <c r="F86" s="52"/>
      <c r="G86" s="52"/>
      <c r="H86" s="52"/>
      <c r="I86" s="52" t="str">
        <f t="shared" si="13"/>
        <v>-</v>
      </c>
    </row>
    <row r="87" spans="1:9" ht="99.75" hidden="1" customHeight="1">
      <c r="A87" s="55" t="s">
        <v>229</v>
      </c>
      <c r="B87" s="57"/>
      <c r="C87" s="46" t="s">
        <v>282</v>
      </c>
      <c r="D87" s="52"/>
      <c r="E87" s="52"/>
      <c r="F87" s="52"/>
      <c r="G87" s="52"/>
      <c r="H87" s="52"/>
      <c r="I87" s="52" t="str">
        <f t="shared" si="13"/>
        <v>-</v>
      </c>
    </row>
  </sheetData>
  <mergeCells count="16">
    <mergeCell ref="B5:D5"/>
    <mergeCell ref="A9:D9"/>
    <mergeCell ref="A1:H1"/>
    <mergeCell ref="A2:G2"/>
    <mergeCell ref="A3:G3"/>
    <mergeCell ref="B6:F6"/>
    <mergeCell ref="I10:I16"/>
    <mergeCell ref="A10:A16"/>
    <mergeCell ref="B10:B16"/>
    <mergeCell ref="C10:C16"/>
    <mergeCell ref="D10:D16"/>
    <mergeCell ref="E10:H10"/>
    <mergeCell ref="E11:E16"/>
    <mergeCell ref="F11:F16"/>
    <mergeCell ref="G11:G16"/>
    <mergeCell ref="H11:H16"/>
  </mergeCells>
  <conditionalFormatting sqref="I18:I67 I69:I8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4"/>
  <sheetViews>
    <sheetView tabSelected="1" view="pageBreakPreview" topLeftCell="A200" zoomScaleNormal="100" zoomScaleSheetLayoutView="100" workbookViewId="0">
      <selection activeCell="I228" sqref="I228"/>
    </sheetView>
  </sheetViews>
  <sheetFormatPr defaultRowHeight="12.75"/>
  <cols>
    <col min="1" max="1" width="41" style="107" customWidth="1"/>
    <col min="2" max="2" width="4.7109375" style="108" customWidth="1"/>
    <col min="3" max="3" width="23.42578125" style="126" customWidth="1"/>
    <col min="4" max="4" width="14.5703125" style="134" customWidth="1"/>
    <col min="5" max="5" width="14" style="134" customWidth="1"/>
    <col min="6" max="6" width="14.140625" style="134" customWidth="1"/>
    <col min="7" max="7" width="7.5703125" style="134" customWidth="1"/>
    <col min="8" max="8" width="7.85546875" style="134" customWidth="1"/>
    <col min="9" max="9" width="13.28515625" style="134" customWidth="1"/>
    <col min="10" max="10" width="13.42578125" style="134" customWidth="1"/>
    <col min="11" max="11" width="13" style="134" customWidth="1"/>
    <col min="12" max="16384" width="9.140625" style="71"/>
  </cols>
  <sheetData>
    <row r="1" spans="1:11" s="61" customFormat="1" ht="30" hidden="1" customHeight="1">
      <c r="C1" s="120" t="s">
        <v>0</v>
      </c>
    </row>
    <row r="2" spans="1:11" s="61" customFormat="1" ht="12.75" hidden="1" customHeight="1">
      <c r="A2" s="62"/>
      <c r="B2" s="62"/>
      <c r="C2" s="120"/>
      <c r="D2" s="62"/>
      <c r="E2" s="62"/>
      <c r="F2" s="62"/>
      <c r="G2" s="62"/>
      <c r="H2" s="62"/>
      <c r="I2" s="62"/>
      <c r="J2" s="62"/>
      <c r="K2" s="62"/>
    </row>
    <row r="3" spans="1:11" s="61" customFormat="1" ht="12.75" hidden="1" customHeight="1">
      <c r="A3" s="62"/>
      <c r="B3" s="62"/>
      <c r="C3" s="120" t="s">
        <v>1</v>
      </c>
      <c r="D3" s="62"/>
      <c r="E3" s="62"/>
      <c r="F3" s="62"/>
      <c r="G3" s="62"/>
      <c r="H3" s="62"/>
      <c r="I3" s="62"/>
      <c r="J3" s="62"/>
      <c r="K3" s="62"/>
    </row>
    <row r="4" spans="1:11" s="61" customFormat="1" ht="12.75" hidden="1" customHeight="1">
      <c r="A4" s="62"/>
      <c r="B4" s="62"/>
      <c r="C4" s="120"/>
      <c r="D4" s="62"/>
      <c r="E4" s="62"/>
      <c r="F4" s="62"/>
      <c r="G4" s="62"/>
      <c r="H4" s="62"/>
      <c r="I4" s="62"/>
      <c r="J4" s="62"/>
      <c r="K4" s="62"/>
    </row>
    <row r="5" spans="1:11" s="61" customFormat="1" ht="12.75" hidden="1" customHeight="1">
      <c r="A5" s="62"/>
      <c r="B5" s="62"/>
      <c r="C5" s="120"/>
      <c r="D5" s="62"/>
      <c r="E5" s="62"/>
      <c r="F5" s="62"/>
      <c r="G5" s="62"/>
      <c r="H5" s="62"/>
      <c r="I5" s="62"/>
      <c r="J5" s="62"/>
      <c r="K5" s="62"/>
    </row>
    <row r="6" spans="1:11" s="61" customFormat="1" ht="12.75" hidden="1" customHeight="1">
      <c r="A6" s="62" t="s">
        <v>2</v>
      </c>
      <c r="B6" s="62"/>
      <c r="C6" s="120"/>
      <c r="D6" s="62"/>
      <c r="E6" s="62"/>
      <c r="F6" s="62"/>
      <c r="G6" s="62"/>
      <c r="H6" s="62"/>
      <c r="I6" s="62"/>
      <c r="J6" s="62"/>
      <c r="K6" s="62"/>
    </row>
    <row r="7" spans="1:11" s="61" customFormat="1" ht="12.75" hidden="1" customHeight="1">
      <c r="A7" s="62" t="s">
        <v>3</v>
      </c>
      <c r="B7" s="62"/>
      <c r="C7" s="120"/>
      <c r="D7" s="62"/>
      <c r="E7" s="62"/>
      <c r="F7" s="62"/>
      <c r="G7" s="62"/>
      <c r="H7" s="62"/>
      <c r="I7" s="62"/>
      <c r="J7" s="62"/>
      <c r="K7" s="62"/>
    </row>
    <row r="8" spans="1:11" s="61" customFormat="1">
      <c r="A8" s="62"/>
      <c r="B8" s="62"/>
      <c r="C8" s="62" t="s">
        <v>7</v>
      </c>
      <c r="D8" s="62"/>
      <c r="E8" s="62"/>
      <c r="F8" s="62"/>
      <c r="G8" s="62"/>
      <c r="H8" s="62"/>
      <c r="I8" s="62"/>
      <c r="J8" s="133" t="s">
        <v>284</v>
      </c>
    </row>
    <row r="9" spans="1:11" s="65" customFormat="1">
      <c r="A9" s="63"/>
      <c r="B9" s="64"/>
      <c r="C9" s="128"/>
      <c r="D9" s="63"/>
      <c r="E9" s="63"/>
      <c r="F9" s="63"/>
      <c r="G9" s="63"/>
      <c r="H9" s="63"/>
      <c r="I9" s="63"/>
      <c r="J9" s="63"/>
      <c r="K9" s="63"/>
    </row>
    <row r="10" spans="1:11" s="67" customFormat="1" ht="25.5" customHeight="1">
      <c r="A10" s="180" t="s">
        <v>4</v>
      </c>
      <c r="B10" s="180" t="s">
        <v>29</v>
      </c>
      <c r="C10" s="183" t="s">
        <v>353</v>
      </c>
      <c r="D10" s="185" t="s">
        <v>34</v>
      </c>
      <c r="E10" s="180" t="s">
        <v>8</v>
      </c>
      <c r="F10" s="181" t="s">
        <v>5</v>
      </c>
      <c r="G10" s="186"/>
      <c r="H10" s="186"/>
      <c r="I10" s="182"/>
      <c r="J10" s="181" t="s">
        <v>6</v>
      </c>
      <c r="K10" s="182"/>
    </row>
    <row r="11" spans="1:11" s="67" customFormat="1" ht="55.5" customHeight="1">
      <c r="A11" s="180"/>
      <c r="B11" s="180"/>
      <c r="C11" s="184"/>
      <c r="D11" s="185"/>
      <c r="E11" s="180"/>
      <c r="F11" s="119" t="s">
        <v>35</v>
      </c>
      <c r="G11" s="119" t="s">
        <v>345</v>
      </c>
      <c r="H11" s="119" t="s">
        <v>37</v>
      </c>
      <c r="I11" s="119" t="s">
        <v>346</v>
      </c>
      <c r="J11" s="118" t="s">
        <v>9</v>
      </c>
      <c r="K11" s="118" t="s">
        <v>10</v>
      </c>
    </row>
    <row r="12" spans="1:11" s="136" customFormat="1" ht="11.25">
      <c r="A12" s="135">
        <v>1</v>
      </c>
      <c r="B12" s="135" t="s">
        <v>30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5">
        <v>10</v>
      </c>
      <c r="K12" s="135">
        <v>11</v>
      </c>
    </row>
    <row r="13" spans="1:11" s="67" customFormat="1" ht="14.25">
      <c r="A13" s="137" t="s">
        <v>351</v>
      </c>
      <c r="B13" s="68" t="s">
        <v>352</v>
      </c>
      <c r="C13" s="129"/>
      <c r="D13" s="149">
        <f>D283</f>
        <v>10086448.48</v>
      </c>
      <c r="E13" s="149">
        <f t="shared" ref="E13:K13" si="0">E283</f>
        <v>3075664.4800000004</v>
      </c>
      <c r="F13" s="149">
        <f t="shared" si="0"/>
        <v>1971961.6500000001</v>
      </c>
      <c r="G13" s="149">
        <f t="shared" si="0"/>
        <v>0</v>
      </c>
      <c r="H13" s="149">
        <f t="shared" si="0"/>
        <v>0</v>
      </c>
      <c r="I13" s="149">
        <f t="shared" si="0"/>
        <v>1971961.6500000001</v>
      </c>
      <c r="J13" s="149">
        <f t="shared" si="0"/>
        <v>8114486.8300000001</v>
      </c>
      <c r="K13" s="149">
        <f t="shared" si="0"/>
        <v>1103702.8300000003</v>
      </c>
    </row>
    <row r="14" spans="1:11" s="67" customFormat="1" ht="15">
      <c r="A14" s="116" t="s">
        <v>44</v>
      </c>
      <c r="B14" s="116"/>
      <c r="C14" s="129"/>
      <c r="D14" s="150"/>
      <c r="E14" s="150"/>
      <c r="F14" s="150"/>
      <c r="G14" s="150"/>
      <c r="H14" s="150"/>
      <c r="I14" s="150"/>
      <c r="J14" s="150"/>
      <c r="K14" s="150"/>
    </row>
    <row r="15" spans="1:11" s="67" customFormat="1" ht="14.25">
      <c r="A15" s="47" t="s">
        <v>123</v>
      </c>
      <c r="B15" s="66"/>
      <c r="C15" s="130" t="s">
        <v>158</v>
      </c>
      <c r="D15" s="149">
        <f t="shared" ref="D15:K15" si="1">D16+D24+D91+D103+D86+D89</f>
        <v>5076238.1800000006</v>
      </c>
      <c r="E15" s="149">
        <f t="shared" si="1"/>
        <v>1761918.1799999997</v>
      </c>
      <c r="F15" s="149">
        <f t="shared" si="1"/>
        <v>961579.31</v>
      </c>
      <c r="G15" s="149">
        <f t="shared" si="1"/>
        <v>0</v>
      </c>
      <c r="H15" s="149">
        <f t="shared" si="1"/>
        <v>0</v>
      </c>
      <c r="I15" s="149">
        <f t="shared" si="1"/>
        <v>961579.31</v>
      </c>
      <c r="J15" s="149">
        <f t="shared" si="1"/>
        <v>4114658.8700000006</v>
      </c>
      <c r="K15" s="149">
        <f t="shared" si="1"/>
        <v>800338.86999999965</v>
      </c>
    </row>
    <row r="16" spans="1:11" s="69" customFormat="1" ht="36.75" customHeight="1">
      <c r="A16" s="145" t="s">
        <v>124</v>
      </c>
      <c r="B16" s="68"/>
      <c r="C16" s="130" t="s">
        <v>337</v>
      </c>
      <c r="D16" s="149">
        <f>D17</f>
        <v>643347</v>
      </c>
      <c r="E16" s="149">
        <f t="shared" ref="E16:K16" si="2">E17</f>
        <v>160837</v>
      </c>
      <c r="F16" s="149">
        <f t="shared" si="2"/>
        <v>160836.9</v>
      </c>
      <c r="G16" s="149">
        <f t="shared" si="2"/>
        <v>0</v>
      </c>
      <c r="H16" s="149">
        <f t="shared" si="2"/>
        <v>0</v>
      </c>
      <c r="I16" s="149">
        <f>I17</f>
        <v>160836.9</v>
      </c>
      <c r="J16" s="149">
        <f t="shared" si="2"/>
        <v>482510.1</v>
      </c>
      <c r="K16" s="149">
        <f t="shared" si="2"/>
        <v>9.9999999998544808E-2</v>
      </c>
    </row>
    <row r="17" spans="1:11" s="67" customFormat="1" ht="22.5" customHeight="1">
      <c r="A17" s="50" t="s">
        <v>138</v>
      </c>
      <c r="B17" s="66"/>
      <c r="C17" s="131" t="s">
        <v>367</v>
      </c>
      <c r="D17" s="151">
        <f t="shared" ref="D17:K17" si="3">D18+D21</f>
        <v>643347</v>
      </c>
      <c r="E17" s="151">
        <f t="shared" si="3"/>
        <v>160837</v>
      </c>
      <c r="F17" s="151">
        <f t="shared" ref="F17" si="4">F18+F21</f>
        <v>160836.9</v>
      </c>
      <c r="G17" s="151">
        <f t="shared" si="3"/>
        <v>0</v>
      </c>
      <c r="H17" s="151">
        <f>H18+H21</f>
        <v>0</v>
      </c>
      <c r="I17" s="151">
        <f>I18+I21</f>
        <v>160836.9</v>
      </c>
      <c r="J17" s="151">
        <f>J18+J21</f>
        <v>482510.1</v>
      </c>
      <c r="K17" s="151">
        <f t="shared" si="3"/>
        <v>9.9999999998544808E-2</v>
      </c>
    </row>
    <row r="18" spans="1:11" ht="18.75" customHeight="1">
      <c r="A18" s="70" t="s">
        <v>21</v>
      </c>
      <c r="B18" s="27"/>
      <c r="C18" s="121" t="s">
        <v>364</v>
      </c>
      <c r="D18" s="152">
        <v>494122</v>
      </c>
      <c r="E18" s="152">
        <v>123531</v>
      </c>
      <c r="F18" s="153">
        <v>123531</v>
      </c>
      <c r="G18" s="153">
        <v>0</v>
      </c>
      <c r="H18" s="153">
        <v>0</v>
      </c>
      <c r="I18" s="153">
        <f>F18+G18+H18</f>
        <v>123531</v>
      </c>
      <c r="J18" s="153">
        <f>D18-I18</f>
        <v>370591</v>
      </c>
      <c r="K18" s="153">
        <f>E18-I18</f>
        <v>0</v>
      </c>
    </row>
    <row r="19" spans="1:11" ht="20.25" customHeight="1">
      <c r="A19" s="72" t="s">
        <v>98</v>
      </c>
      <c r="B19" s="27"/>
      <c r="C19" s="121" t="s">
        <v>365</v>
      </c>
      <c r="D19" s="153">
        <v>108705</v>
      </c>
      <c r="E19" s="153">
        <v>27176</v>
      </c>
      <c r="F19" s="153">
        <v>27175.9</v>
      </c>
      <c r="G19" s="153">
        <v>0</v>
      </c>
      <c r="H19" s="153">
        <v>0</v>
      </c>
      <c r="I19" s="153">
        <f t="shared" ref="I19:I82" si="5">F19+G19+H19</f>
        <v>27175.9</v>
      </c>
      <c r="J19" s="153">
        <f t="shared" ref="J19:J82" si="6">D19-I19</f>
        <v>81529.100000000006</v>
      </c>
      <c r="K19" s="153">
        <f t="shared" ref="K19:K82" si="7">E19-I19</f>
        <v>9.9999999998544808E-2</v>
      </c>
    </row>
    <row r="20" spans="1:11" ht="14.25" customHeight="1">
      <c r="A20" s="72" t="s">
        <v>99</v>
      </c>
      <c r="B20" s="27"/>
      <c r="C20" s="121" t="s">
        <v>366</v>
      </c>
      <c r="D20" s="153">
        <v>40520</v>
      </c>
      <c r="E20" s="153">
        <v>10130</v>
      </c>
      <c r="F20" s="153">
        <v>10130</v>
      </c>
      <c r="G20" s="153">
        <v>0</v>
      </c>
      <c r="H20" s="153">
        <v>0</v>
      </c>
      <c r="I20" s="153">
        <f t="shared" si="5"/>
        <v>10130</v>
      </c>
      <c r="J20" s="153">
        <f t="shared" si="6"/>
        <v>30390</v>
      </c>
      <c r="K20" s="153">
        <f t="shared" si="7"/>
        <v>0</v>
      </c>
    </row>
    <row r="21" spans="1:11" s="74" customFormat="1" ht="21" customHeight="1">
      <c r="A21" s="50" t="s">
        <v>139</v>
      </c>
      <c r="B21" s="73"/>
      <c r="C21" s="123"/>
      <c r="D21" s="154">
        <f t="shared" ref="D21:H21" si="8">SUM(D19:D20)</f>
        <v>149225</v>
      </c>
      <c r="E21" s="155">
        <f t="shared" si="8"/>
        <v>37306</v>
      </c>
      <c r="F21" s="155">
        <f t="shared" ref="F21" si="9">SUM(F19:F20)</f>
        <v>37305.9</v>
      </c>
      <c r="G21" s="155">
        <f t="shared" si="8"/>
        <v>0</v>
      </c>
      <c r="H21" s="155">
        <f t="shared" si="8"/>
        <v>0</v>
      </c>
      <c r="I21" s="153">
        <f t="shared" si="5"/>
        <v>37305.9</v>
      </c>
      <c r="J21" s="153">
        <f t="shared" si="6"/>
        <v>111919.1</v>
      </c>
      <c r="K21" s="153">
        <f t="shared" si="7"/>
        <v>9.9999999998544808E-2</v>
      </c>
    </row>
    <row r="22" spans="1:11" s="74" customFormat="1" ht="15">
      <c r="A22" s="75"/>
      <c r="B22" s="73"/>
      <c r="C22" s="123"/>
      <c r="D22" s="154"/>
      <c r="E22" s="155"/>
      <c r="F22" s="155"/>
      <c r="G22" s="155"/>
      <c r="H22" s="155"/>
      <c r="I22" s="153"/>
      <c r="J22" s="153"/>
      <c r="K22" s="153"/>
    </row>
    <row r="23" spans="1:11" s="74" customFormat="1" ht="43.5">
      <c r="A23" s="145" t="s">
        <v>125</v>
      </c>
      <c r="B23" s="73"/>
      <c r="C23" s="123" t="s">
        <v>157</v>
      </c>
      <c r="D23" s="155">
        <f>D24+D81</f>
        <v>4355653.1800000006</v>
      </c>
      <c r="E23" s="155">
        <f>E24+E81</f>
        <v>1600616.1799999997</v>
      </c>
      <c r="F23" s="155">
        <f>F24+F81</f>
        <v>800742.41</v>
      </c>
      <c r="G23" s="155">
        <f>G24+G81</f>
        <v>0</v>
      </c>
      <c r="H23" s="155">
        <f>H24+H81</f>
        <v>0</v>
      </c>
      <c r="I23" s="156">
        <f t="shared" si="5"/>
        <v>800742.41</v>
      </c>
      <c r="J23" s="156">
        <f t="shared" si="6"/>
        <v>3554910.7700000005</v>
      </c>
      <c r="K23" s="156">
        <f t="shared" si="7"/>
        <v>799873.76999999967</v>
      </c>
    </row>
    <row r="24" spans="1:11" s="60" customFormat="1" ht="27">
      <c r="A24" s="75" t="s">
        <v>164</v>
      </c>
      <c r="B24" s="59"/>
      <c r="C24" s="122" t="s">
        <v>163</v>
      </c>
      <c r="D24" s="156">
        <f>D45+D58+D67+D72+D69+D74+D73+D77+D80</f>
        <v>4355653.1800000006</v>
      </c>
      <c r="E24" s="156">
        <f>E45+E58+E67+E72+E69+E74+E73+E77+E80</f>
        <v>1600616.1799999997</v>
      </c>
      <c r="F24" s="156">
        <f>F45+F58+F67+F72+F69+F74+F73+F77+F80</f>
        <v>800742.41</v>
      </c>
      <c r="G24" s="156">
        <f>G45+G58+G67+G72+G69+G74+G73+G77+G80</f>
        <v>0</v>
      </c>
      <c r="H24" s="156">
        <f>H45+H58+H67+H72+H69+H74+H73+H77+H80</f>
        <v>0</v>
      </c>
      <c r="I24" s="156">
        <f t="shared" si="5"/>
        <v>800742.41</v>
      </c>
      <c r="J24" s="156">
        <f t="shared" si="6"/>
        <v>3554910.7700000005</v>
      </c>
      <c r="K24" s="156">
        <f t="shared" si="7"/>
        <v>799873.76999999967</v>
      </c>
    </row>
    <row r="25" spans="1:11" ht="12.75" hidden="1" customHeight="1">
      <c r="A25" s="70" t="s">
        <v>21</v>
      </c>
      <c r="B25" s="27"/>
      <c r="C25" s="121" t="s">
        <v>110</v>
      </c>
      <c r="D25" s="153"/>
      <c r="E25" s="153"/>
      <c r="F25" s="153"/>
      <c r="G25" s="153"/>
      <c r="H25" s="153"/>
      <c r="I25" s="156">
        <f t="shared" si="5"/>
        <v>0</v>
      </c>
      <c r="J25" s="156">
        <f t="shared" si="6"/>
        <v>0</v>
      </c>
      <c r="K25" s="156">
        <f t="shared" si="7"/>
        <v>0</v>
      </c>
    </row>
    <row r="26" spans="1:11" ht="12.75" hidden="1" customHeight="1">
      <c r="A26" s="72" t="s">
        <v>98</v>
      </c>
      <c r="B26" s="27"/>
      <c r="C26" s="121" t="s">
        <v>111</v>
      </c>
      <c r="D26" s="153"/>
      <c r="E26" s="153"/>
      <c r="F26" s="153"/>
      <c r="G26" s="153"/>
      <c r="H26" s="153"/>
      <c r="I26" s="156">
        <f t="shared" si="5"/>
        <v>0</v>
      </c>
      <c r="J26" s="156">
        <f t="shared" si="6"/>
        <v>0</v>
      </c>
      <c r="K26" s="156">
        <f t="shared" si="7"/>
        <v>0</v>
      </c>
    </row>
    <row r="27" spans="1:11" ht="14.25" hidden="1" customHeight="1">
      <c r="A27" s="72" t="s">
        <v>99</v>
      </c>
      <c r="B27" s="27"/>
      <c r="C27" s="121" t="s">
        <v>112</v>
      </c>
      <c r="D27" s="153"/>
      <c r="E27" s="153"/>
      <c r="F27" s="153"/>
      <c r="G27" s="153"/>
      <c r="H27" s="153"/>
      <c r="I27" s="156">
        <f t="shared" si="5"/>
        <v>0</v>
      </c>
      <c r="J27" s="156">
        <f t="shared" si="6"/>
        <v>0</v>
      </c>
      <c r="K27" s="156">
        <f t="shared" si="7"/>
        <v>0</v>
      </c>
    </row>
    <row r="28" spans="1:11" s="74" customFormat="1" ht="13.5" hidden="1" customHeight="1">
      <c r="A28" s="75" t="s">
        <v>78</v>
      </c>
      <c r="B28" s="73"/>
      <c r="C28" s="123"/>
      <c r="D28" s="155">
        <f t="shared" ref="D28:H28" si="10">SUM(D26:D27)</f>
        <v>0</v>
      </c>
      <c r="E28" s="155">
        <f t="shared" si="10"/>
        <v>0</v>
      </c>
      <c r="F28" s="155">
        <f t="shared" ref="F28" si="11">SUM(F26:F27)</f>
        <v>0</v>
      </c>
      <c r="G28" s="155">
        <f t="shared" si="10"/>
        <v>0</v>
      </c>
      <c r="H28" s="155">
        <f t="shared" si="10"/>
        <v>0</v>
      </c>
      <c r="I28" s="156">
        <f t="shared" si="5"/>
        <v>0</v>
      </c>
      <c r="J28" s="156">
        <f t="shared" si="6"/>
        <v>0</v>
      </c>
      <c r="K28" s="156">
        <f t="shared" si="7"/>
        <v>0</v>
      </c>
    </row>
    <row r="29" spans="1:11" s="60" customFormat="1" ht="12.75" hidden="1" customHeight="1">
      <c r="A29" s="76" t="s">
        <v>113</v>
      </c>
      <c r="B29" s="59"/>
      <c r="C29" s="121"/>
      <c r="D29" s="156">
        <f>D25+D28</f>
        <v>0</v>
      </c>
      <c r="E29" s="156">
        <f t="shared" ref="E29:H29" si="12">E25+E28</f>
        <v>0</v>
      </c>
      <c r="F29" s="156">
        <f t="shared" ref="F29" si="13">F25+F28</f>
        <v>0</v>
      </c>
      <c r="G29" s="156">
        <f t="shared" si="12"/>
        <v>0</v>
      </c>
      <c r="H29" s="156">
        <f t="shared" si="12"/>
        <v>0</v>
      </c>
      <c r="I29" s="156">
        <f t="shared" si="5"/>
        <v>0</v>
      </c>
      <c r="J29" s="156">
        <f t="shared" si="6"/>
        <v>0</v>
      </c>
      <c r="K29" s="156">
        <f t="shared" si="7"/>
        <v>0</v>
      </c>
    </row>
    <row r="30" spans="1:11" s="60" customFormat="1" ht="12.75" hidden="1" customHeight="1">
      <c r="A30" s="76"/>
      <c r="B30" s="59"/>
      <c r="C30" s="121"/>
      <c r="D30" s="156"/>
      <c r="E30" s="156"/>
      <c r="F30" s="156"/>
      <c r="G30" s="156"/>
      <c r="H30" s="156"/>
      <c r="I30" s="156">
        <f t="shared" si="5"/>
        <v>0</v>
      </c>
      <c r="J30" s="156">
        <f t="shared" si="6"/>
        <v>0</v>
      </c>
      <c r="K30" s="156">
        <f t="shared" si="7"/>
        <v>0</v>
      </c>
    </row>
    <row r="31" spans="1:11" s="60" customFormat="1" ht="12.75" hidden="1" customHeight="1">
      <c r="A31" s="76" t="s">
        <v>104</v>
      </c>
      <c r="B31" s="59"/>
      <c r="C31" s="121"/>
      <c r="D31" s="156"/>
      <c r="E31" s="156"/>
      <c r="F31" s="156"/>
      <c r="G31" s="156"/>
      <c r="H31" s="156"/>
      <c r="I31" s="156">
        <f t="shared" si="5"/>
        <v>0</v>
      </c>
      <c r="J31" s="156">
        <f t="shared" si="6"/>
        <v>0</v>
      </c>
      <c r="K31" s="156">
        <f t="shared" si="7"/>
        <v>0</v>
      </c>
    </row>
    <row r="32" spans="1:11" ht="12.75" hidden="1" customHeight="1">
      <c r="A32" s="70" t="s">
        <v>21</v>
      </c>
      <c r="B32" s="27"/>
      <c r="C32" s="121" t="s">
        <v>84</v>
      </c>
      <c r="D32" s="153"/>
      <c r="E32" s="153"/>
      <c r="F32" s="153"/>
      <c r="G32" s="153"/>
      <c r="H32" s="153"/>
      <c r="I32" s="156">
        <f t="shared" si="5"/>
        <v>0</v>
      </c>
      <c r="J32" s="156">
        <f t="shared" si="6"/>
        <v>0</v>
      </c>
      <c r="K32" s="156">
        <f t="shared" si="7"/>
        <v>0</v>
      </c>
    </row>
    <row r="33" spans="1:11" ht="12.75" hidden="1" customHeight="1">
      <c r="A33" s="72" t="s">
        <v>98</v>
      </c>
      <c r="B33" s="27"/>
      <c r="C33" s="121" t="s">
        <v>85</v>
      </c>
      <c r="D33" s="153"/>
      <c r="E33" s="153"/>
      <c r="F33" s="153"/>
      <c r="G33" s="153"/>
      <c r="H33" s="153"/>
      <c r="I33" s="156">
        <f t="shared" si="5"/>
        <v>0</v>
      </c>
      <c r="J33" s="156">
        <f t="shared" si="6"/>
        <v>0</v>
      </c>
      <c r="K33" s="156">
        <f t="shared" si="7"/>
        <v>0</v>
      </c>
    </row>
    <row r="34" spans="1:11" ht="14.25" hidden="1" customHeight="1">
      <c r="A34" s="77" t="s">
        <v>99</v>
      </c>
      <c r="B34" s="27"/>
      <c r="C34" s="121" t="s">
        <v>86</v>
      </c>
      <c r="D34" s="153"/>
      <c r="E34" s="153"/>
      <c r="F34" s="153"/>
      <c r="G34" s="153"/>
      <c r="H34" s="153"/>
      <c r="I34" s="156">
        <f t="shared" si="5"/>
        <v>0</v>
      </c>
      <c r="J34" s="156">
        <f t="shared" si="6"/>
        <v>0</v>
      </c>
      <c r="K34" s="156">
        <f t="shared" si="7"/>
        <v>0</v>
      </c>
    </row>
    <row r="35" spans="1:11" s="74" customFormat="1" ht="13.5" hidden="1" customHeight="1">
      <c r="A35" s="75" t="s">
        <v>78</v>
      </c>
      <c r="B35" s="73"/>
      <c r="C35" s="123"/>
      <c r="D35" s="155">
        <f t="shared" ref="D35:H35" si="14">SUM(D33:D34)</f>
        <v>0</v>
      </c>
      <c r="E35" s="155">
        <f t="shared" si="14"/>
        <v>0</v>
      </c>
      <c r="F35" s="155">
        <f t="shared" ref="F35" si="15">SUM(F33:F34)</f>
        <v>0</v>
      </c>
      <c r="G35" s="155">
        <f t="shared" si="14"/>
        <v>0</v>
      </c>
      <c r="H35" s="155">
        <f t="shared" si="14"/>
        <v>0</v>
      </c>
      <c r="I35" s="156">
        <f t="shared" si="5"/>
        <v>0</v>
      </c>
      <c r="J35" s="156">
        <f t="shared" si="6"/>
        <v>0</v>
      </c>
      <c r="K35" s="156">
        <f t="shared" si="7"/>
        <v>0</v>
      </c>
    </row>
    <row r="36" spans="1:11" s="60" customFormat="1" ht="12.75" hidden="1" customHeight="1">
      <c r="A36" s="76" t="s">
        <v>91</v>
      </c>
      <c r="B36" s="59"/>
      <c r="C36" s="122"/>
      <c r="D36" s="156">
        <f t="shared" ref="D36:H36" si="16">D32+D35</f>
        <v>0</v>
      </c>
      <c r="E36" s="156">
        <f t="shared" si="16"/>
        <v>0</v>
      </c>
      <c r="F36" s="156">
        <f t="shared" ref="F36" si="17">F32+F35</f>
        <v>0</v>
      </c>
      <c r="G36" s="156">
        <f t="shared" si="16"/>
        <v>0</v>
      </c>
      <c r="H36" s="156">
        <f t="shared" si="16"/>
        <v>0</v>
      </c>
      <c r="I36" s="156">
        <f t="shared" si="5"/>
        <v>0</v>
      </c>
      <c r="J36" s="156">
        <f t="shared" si="6"/>
        <v>0</v>
      </c>
      <c r="K36" s="156">
        <f t="shared" si="7"/>
        <v>0</v>
      </c>
    </row>
    <row r="37" spans="1:11" s="60" customFormat="1" ht="12.75" hidden="1" customHeight="1">
      <c r="A37" s="76"/>
      <c r="B37" s="59"/>
      <c r="C37" s="122"/>
      <c r="D37" s="156"/>
      <c r="E37" s="156"/>
      <c r="F37" s="156"/>
      <c r="G37" s="156"/>
      <c r="H37" s="156"/>
      <c r="I37" s="156">
        <f t="shared" si="5"/>
        <v>0</v>
      </c>
      <c r="J37" s="156">
        <f t="shared" si="6"/>
        <v>0</v>
      </c>
      <c r="K37" s="156">
        <f t="shared" si="7"/>
        <v>0</v>
      </c>
    </row>
    <row r="38" spans="1:11" s="60" customFormat="1" ht="12.75" hidden="1" customHeight="1">
      <c r="A38" s="78" t="s">
        <v>96</v>
      </c>
      <c r="B38" s="59"/>
      <c r="C38" s="122"/>
      <c r="D38" s="156"/>
      <c r="E38" s="156"/>
      <c r="F38" s="156"/>
      <c r="G38" s="156"/>
      <c r="H38" s="156"/>
      <c r="I38" s="156">
        <f t="shared" si="5"/>
        <v>0</v>
      </c>
      <c r="J38" s="156">
        <f t="shared" si="6"/>
        <v>0</v>
      </c>
      <c r="K38" s="156">
        <f t="shared" si="7"/>
        <v>0</v>
      </c>
    </row>
    <row r="39" spans="1:11" ht="12.75" hidden="1" customHeight="1">
      <c r="A39" s="70" t="s">
        <v>21</v>
      </c>
      <c r="B39" s="27"/>
      <c r="C39" s="121" t="s">
        <v>87</v>
      </c>
      <c r="D39" s="153">
        <f t="shared" ref="D39:H39" si="18">D18+D25+D32</f>
        <v>494122</v>
      </c>
      <c r="E39" s="153">
        <f t="shared" si="18"/>
        <v>123531</v>
      </c>
      <c r="F39" s="153">
        <f t="shared" ref="F39" si="19">F18+F25+F32</f>
        <v>123531</v>
      </c>
      <c r="G39" s="153">
        <f t="shared" si="18"/>
        <v>0</v>
      </c>
      <c r="H39" s="153">
        <f t="shared" si="18"/>
        <v>0</v>
      </c>
      <c r="I39" s="156">
        <f t="shared" si="5"/>
        <v>123531</v>
      </c>
      <c r="J39" s="156">
        <f t="shared" si="6"/>
        <v>370591</v>
      </c>
      <c r="K39" s="156">
        <f t="shared" si="7"/>
        <v>0</v>
      </c>
    </row>
    <row r="40" spans="1:11" ht="38.25" hidden="1" customHeight="1">
      <c r="A40" s="70" t="s">
        <v>22</v>
      </c>
      <c r="B40" s="27"/>
      <c r="C40" s="121" t="s">
        <v>88</v>
      </c>
      <c r="D40" s="153" t="e">
        <f>#REF!</f>
        <v>#REF!</v>
      </c>
      <c r="E40" s="153" t="e">
        <f>#REF!</f>
        <v>#REF!</v>
      </c>
      <c r="F40" s="153" t="e">
        <f>#REF!</f>
        <v>#REF!</v>
      </c>
      <c r="G40" s="153" t="e">
        <f>#REF!</f>
        <v>#REF!</v>
      </c>
      <c r="H40" s="153" t="e">
        <f>#REF!</f>
        <v>#REF!</v>
      </c>
      <c r="I40" s="156" t="e">
        <f t="shared" si="5"/>
        <v>#REF!</v>
      </c>
      <c r="J40" s="156" t="e">
        <f t="shared" si="6"/>
        <v>#REF!</v>
      </c>
      <c r="K40" s="156" t="e">
        <f t="shared" si="7"/>
        <v>#REF!</v>
      </c>
    </row>
    <row r="41" spans="1:11" ht="12.75" hidden="1" customHeight="1">
      <c r="A41" s="72" t="s">
        <v>98</v>
      </c>
      <c r="B41" s="27"/>
      <c r="C41" s="121" t="s">
        <v>89</v>
      </c>
      <c r="D41" s="153">
        <f t="shared" ref="D41:H42" si="20">D19+D26+D33</f>
        <v>108705</v>
      </c>
      <c r="E41" s="153">
        <f t="shared" si="20"/>
        <v>27176</v>
      </c>
      <c r="F41" s="153">
        <f t="shared" ref="F41" si="21">F19+F26+F33</f>
        <v>27175.9</v>
      </c>
      <c r="G41" s="153">
        <f t="shared" si="20"/>
        <v>0</v>
      </c>
      <c r="H41" s="153">
        <f t="shared" si="20"/>
        <v>0</v>
      </c>
      <c r="I41" s="156">
        <f t="shared" si="5"/>
        <v>27175.9</v>
      </c>
      <c r="J41" s="156">
        <f t="shared" si="6"/>
        <v>81529.100000000006</v>
      </c>
      <c r="K41" s="156">
        <f t="shared" si="7"/>
        <v>9.9999999998544808E-2</v>
      </c>
    </row>
    <row r="42" spans="1:11" ht="14.25" hidden="1" customHeight="1">
      <c r="A42" s="72" t="s">
        <v>99</v>
      </c>
      <c r="B42" s="27"/>
      <c r="C42" s="121" t="s">
        <v>90</v>
      </c>
      <c r="D42" s="153">
        <f t="shared" si="20"/>
        <v>40520</v>
      </c>
      <c r="E42" s="153">
        <f t="shared" si="20"/>
        <v>10130</v>
      </c>
      <c r="F42" s="153">
        <f t="shared" ref="F42" si="22">F20+F27+F34</f>
        <v>10130</v>
      </c>
      <c r="G42" s="153">
        <f t="shared" si="20"/>
        <v>0</v>
      </c>
      <c r="H42" s="153">
        <f t="shared" si="20"/>
        <v>0</v>
      </c>
      <c r="I42" s="156">
        <f t="shared" si="5"/>
        <v>10130</v>
      </c>
      <c r="J42" s="156">
        <f t="shared" si="6"/>
        <v>30390</v>
      </c>
      <c r="K42" s="156">
        <f t="shared" si="7"/>
        <v>0</v>
      </c>
    </row>
    <row r="43" spans="1:11" s="74" customFormat="1" ht="13.5" hidden="1" customHeight="1">
      <c r="A43" s="75" t="s">
        <v>78</v>
      </c>
      <c r="B43" s="73"/>
      <c r="C43" s="123"/>
      <c r="D43" s="155">
        <f>SUM(D41:D42)</f>
        <v>149225</v>
      </c>
      <c r="E43" s="155">
        <f t="shared" ref="E43:H43" si="23">SUM(E41:E42)</f>
        <v>37306</v>
      </c>
      <c r="F43" s="155">
        <f t="shared" ref="F43" si="24">SUM(F41:F42)</f>
        <v>37305.9</v>
      </c>
      <c r="G43" s="155">
        <f t="shared" si="23"/>
        <v>0</v>
      </c>
      <c r="H43" s="155">
        <f t="shared" si="23"/>
        <v>0</v>
      </c>
      <c r="I43" s="156">
        <f t="shared" si="5"/>
        <v>37305.9</v>
      </c>
      <c r="J43" s="156">
        <f t="shared" si="6"/>
        <v>111919.1</v>
      </c>
      <c r="K43" s="156">
        <f t="shared" si="7"/>
        <v>9.9999999998544808E-2</v>
      </c>
    </row>
    <row r="44" spans="1:11" s="60" customFormat="1" ht="12.75" hidden="1" customHeight="1">
      <c r="A44" s="78" t="s">
        <v>95</v>
      </c>
      <c r="B44" s="59"/>
      <c r="C44" s="122"/>
      <c r="D44" s="156" t="e">
        <f>D39+D43+D40</f>
        <v>#REF!</v>
      </c>
      <c r="E44" s="156" t="e">
        <f t="shared" ref="E44:H44" si="25">E39+E43+E40</f>
        <v>#REF!</v>
      </c>
      <c r="F44" s="156" t="e">
        <f t="shared" ref="F44" si="26">F39+F43+F40</f>
        <v>#REF!</v>
      </c>
      <c r="G44" s="156" t="e">
        <f t="shared" si="25"/>
        <v>#REF!</v>
      </c>
      <c r="H44" s="156" t="e">
        <f t="shared" si="25"/>
        <v>#REF!</v>
      </c>
      <c r="I44" s="156" t="e">
        <f t="shared" si="5"/>
        <v>#REF!</v>
      </c>
      <c r="J44" s="156" t="e">
        <f t="shared" si="6"/>
        <v>#REF!</v>
      </c>
      <c r="K44" s="156" t="e">
        <f t="shared" si="7"/>
        <v>#REF!</v>
      </c>
    </row>
    <row r="45" spans="1:11" s="60" customFormat="1" ht="25.5">
      <c r="A45" s="50" t="s">
        <v>138</v>
      </c>
      <c r="B45" s="59"/>
      <c r="C45" s="131" t="s">
        <v>368</v>
      </c>
      <c r="D45" s="156">
        <f>D48+D53+D56</f>
        <v>2204771</v>
      </c>
      <c r="E45" s="156">
        <f t="shared" ref="E45:H45" si="27">E48+E53+E56</f>
        <v>602847</v>
      </c>
      <c r="F45" s="156">
        <f t="shared" ref="F45" si="28">F48+F53+F56</f>
        <v>437394.70999999996</v>
      </c>
      <c r="G45" s="156">
        <f t="shared" si="27"/>
        <v>0</v>
      </c>
      <c r="H45" s="156">
        <f t="shared" si="27"/>
        <v>0</v>
      </c>
      <c r="I45" s="156">
        <f t="shared" si="5"/>
        <v>437394.70999999996</v>
      </c>
      <c r="J45" s="156">
        <f t="shared" si="6"/>
        <v>1767376.29</v>
      </c>
      <c r="K45" s="156">
        <f t="shared" si="7"/>
        <v>165452.29000000004</v>
      </c>
    </row>
    <row r="46" spans="1:11" ht="15">
      <c r="A46" s="70" t="s">
        <v>491</v>
      </c>
      <c r="B46" s="27"/>
      <c r="C46" s="121" t="s">
        <v>369</v>
      </c>
      <c r="D46" s="153">
        <v>804513</v>
      </c>
      <c r="E46" s="153">
        <v>201128</v>
      </c>
      <c r="F46" s="153">
        <v>157273.15</v>
      </c>
      <c r="G46" s="153">
        <v>0</v>
      </c>
      <c r="H46" s="153">
        <v>0</v>
      </c>
      <c r="I46" s="153">
        <f t="shared" si="5"/>
        <v>157273.15</v>
      </c>
      <c r="J46" s="153">
        <f t="shared" si="6"/>
        <v>647239.85</v>
      </c>
      <c r="K46" s="153">
        <f t="shared" si="7"/>
        <v>43854.850000000006</v>
      </c>
    </row>
    <row r="47" spans="1:11" ht="15">
      <c r="A47" s="70" t="s">
        <v>492</v>
      </c>
      <c r="B47" s="27"/>
      <c r="C47" s="121" t="s">
        <v>370</v>
      </c>
      <c r="D47" s="153">
        <v>800642</v>
      </c>
      <c r="E47" s="153">
        <v>200160</v>
      </c>
      <c r="F47" s="153">
        <v>177941.78</v>
      </c>
      <c r="G47" s="153">
        <v>0</v>
      </c>
      <c r="H47" s="153">
        <v>0</v>
      </c>
      <c r="I47" s="153">
        <f t="shared" si="5"/>
        <v>177941.78</v>
      </c>
      <c r="J47" s="153">
        <f t="shared" si="6"/>
        <v>622700.22</v>
      </c>
      <c r="K47" s="153">
        <f t="shared" si="7"/>
        <v>22218.22</v>
      </c>
    </row>
    <row r="48" spans="1:11" s="74" customFormat="1" ht="15">
      <c r="A48" s="75" t="s">
        <v>79</v>
      </c>
      <c r="B48" s="73"/>
      <c r="C48" s="123"/>
      <c r="D48" s="155">
        <f t="shared" ref="D48:H48" si="29">SUM(D46:D47)</f>
        <v>1605155</v>
      </c>
      <c r="E48" s="155">
        <f t="shared" si="29"/>
        <v>401288</v>
      </c>
      <c r="F48" s="155">
        <f t="shared" ref="F48" si="30">SUM(F46:F47)</f>
        <v>335214.93</v>
      </c>
      <c r="G48" s="155">
        <f t="shared" si="29"/>
        <v>0</v>
      </c>
      <c r="H48" s="155">
        <f t="shared" si="29"/>
        <v>0</v>
      </c>
      <c r="I48" s="155">
        <f t="shared" si="5"/>
        <v>335214.93</v>
      </c>
      <c r="J48" s="155">
        <f t="shared" si="6"/>
        <v>1269940.07</v>
      </c>
      <c r="K48" s="155">
        <f t="shared" si="7"/>
        <v>66073.070000000007</v>
      </c>
    </row>
    <row r="49" spans="1:11" ht="46.5" customHeight="1">
      <c r="A49" s="70" t="s">
        <v>22</v>
      </c>
      <c r="B49" s="27"/>
      <c r="C49" s="121" t="s">
        <v>371</v>
      </c>
      <c r="D49" s="153">
        <v>70870</v>
      </c>
      <c r="E49" s="153">
        <v>70870</v>
      </c>
      <c r="F49" s="153"/>
      <c r="G49" s="153">
        <v>0</v>
      </c>
      <c r="H49" s="153">
        <v>0</v>
      </c>
      <c r="I49" s="153">
        <f t="shared" si="5"/>
        <v>0</v>
      </c>
      <c r="J49" s="153">
        <f t="shared" si="6"/>
        <v>70870</v>
      </c>
      <c r="K49" s="153">
        <f t="shared" si="7"/>
        <v>70870</v>
      </c>
    </row>
    <row r="50" spans="1:11" ht="41.25" customHeight="1">
      <c r="A50" s="70" t="s">
        <v>23</v>
      </c>
      <c r="B50" s="27"/>
      <c r="C50" s="121" t="s">
        <v>372</v>
      </c>
      <c r="D50" s="153">
        <v>18000</v>
      </c>
      <c r="E50" s="153">
        <v>4500</v>
      </c>
      <c r="F50" s="153">
        <v>0</v>
      </c>
      <c r="G50" s="153">
        <v>0</v>
      </c>
      <c r="H50" s="153">
        <v>0</v>
      </c>
      <c r="I50" s="153">
        <f t="shared" si="5"/>
        <v>0</v>
      </c>
      <c r="J50" s="153">
        <f t="shared" si="6"/>
        <v>18000</v>
      </c>
      <c r="K50" s="153">
        <f t="shared" si="7"/>
        <v>4500</v>
      </c>
    </row>
    <row r="51" spans="1:11" ht="15">
      <c r="A51" s="70" t="s">
        <v>13</v>
      </c>
      <c r="B51" s="27"/>
      <c r="C51" s="121" t="s">
        <v>391</v>
      </c>
      <c r="D51" s="153">
        <v>14988</v>
      </c>
      <c r="E51" s="153">
        <v>3000</v>
      </c>
      <c r="F51" s="153">
        <v>0</v>
      </c>
      <c r="G51" s="153">
        <v>0</v>
      </c>
      <c r="H51" s="153">
        <v>0</v>
      </c>
      <c r="I51" s="153">
        <f t="shared" si="5"/>
        <v>0</v>
      </c>
      <c r="J51" s="153">
        <f t="shared" si="6"/>
        <v>14988</v>
      </c>
      <c r="K51" s="153">
        <f t="shared" si="7"/>
        <v>3000</v>
      </c>
    </row>
    <row r="52" spans="1:11" ht="15">
      <c r="A52" s="70" t="s">
        <v>16</v>
      </c>
      <c r="B52" s="27"/>
      <c r="C52" s="121" t="s">
        <v>392</v>
      </c>
      <c r="D52" s="153">
        <v>11000</v>
      </c>
      <c r="E52" s="153">
        <v>2000</v>
      </c>
      <c r="F52" s="153">
        <v>825</v>
      </c>
      <c r="G52" s="153">
        <v>0</v>
      </c>
      <c r="H52" s="153">
        <v>0</v>
      </c>
      <c r="I52" s="153">
        <f t="shared" si="5"/>
        <v>825</v>
      </c>
      <c r="J52" s="153">
        <f t="shared" si="6"/>
        <v>10175</v>
      </c>
      <c r="K52" s="153">
        <f t="shared" si="7"/>
        <v>1175</v>
      </c>
    </row>
    <row r="53" spans="1:11" s="74" customFormat="1" ht="15">
      <c r="A53" s="75" t="s">
        <v>140</v>
      </c>
      <c r="B53" s="73"/>
      <c r="C53" s="123"/>
      <c r="D53" s="155">
        <f>SUM(D49:D52)</f>
        <v>114858</v>
      </c>
      <c r="E53" s="155">
        <f t="shared" ref="E53:H53" si="31">SUM(E49:E52)</f>
        <v>80370</v>
      </c>
      <c r="F53" s="155">
        <f t="shared" ref="F53" si="32">SUM(F49:F52)</f>
        <v>825</v>
      </c>
      <c r="G53" s="155">
        <f t="shared" si="31"/>
        <v>0</v>
      </c>
      <c r="H53" s="155">
        <f t="shared" si="31"/>
        <v>0</v>
      </c>
      <c r="I53" s="153">
        <f t="shared" si="5"/>
        <v>825</v>
      </c>
      <c r="J53" s="153">
        <f t="shared" si="6"/>
        <v>114033</v>
      </c>
      <c r="K53" s="153">
        <f t="shared" si="7"/>
        <v>79545</v>
      </c>
    </row>
    <row r="54" spans="1:11" ht="21" customHeight="1">
      <c r="A54" s="79" t="s">
        <v>98</v>
      </c>
      <c r="B54" s="27"/>
      <c r="C54" s="121" t="s">
        <v>389</v>
      </c>
      <c r="D54" s="153">
        <v>353134</v>
      </c>
      <c r="E54" s="153">
        <v>88283</v>
      </c>
      <c r="F54" s="153">
        <v>73834.59</v>
      </c>
      <c r="G54" s="153">
        <v>0</v>
      </c>
      <c r="H54" s="153">
        <v>0</v>
      </c>
      <c r="I54" s="153">
        <f t="shared" si="5"/>
        <v>73834.59</v>
      </c>
      <c r="J54" s="153">
        <f t="shared" si="6"/>
        <v>279299.41000000003</v>
      </c>
      <c r="K54" s="153">
        <f t="shared" si="7"/>
        <v>14448.410000000003</v>
      </c>
    </row>
    <row r="55" spans="1:11" ht="15" customHeight="1">
      <c r="A55" s="79" t="s">
        <v>99</v>
      </c>
      <c r="B55" s="27"/>
      <c r="C55" s="121" t="s">
        <v>390</v>
      </c>
      <c r="D55" s="153">
        <v>131624</v>
      </c>
      <c r="E55" s="153">
        <v>32906</v>
      </c>
      <c r="F55" s="153">
        <v>27520.19</v>
      </c>
      <c r="G55" s="153">
        <v>0</v>
      </c>
      <c r="H55" s="153">
        <v>0</v>
      </c>
      <c r="I55" s="153">
        <f t="shared" si="5"/>
        <v>27520.19</v>
      </c>
      <c r="J55" s="153">
        <f t="shared" si="6"/>
        <v>104103.81</v>
      </c>
      <c r="K55" s="153">
        <f t="shared" si="7"/>
        <v>5385.8100000000013</v>
      </c>
    </row>
    <row r="56" spans="1:11" s="74" customFormat="1" ht="17.25" customHeight="1">
      <c r="A56" s="50" t="s">
        <v>139</v>
      </c>
      <c r="B56" s="73"/>
      <c r="C56" s="123"/>
      <c r="D56" s="155">
        <f t="shared" ref="D56:H56" si="33">SUM(D54:D55)</f>
        <v>484758</v>
      </c>
      <c r="E56" s="155">
        <f t="shared" si="33"/>
        <v>121189</v>
      </c>
      <c r="F56" s="155">
        <f t="shared" ref="F56" si="34">SUM(F54:F55)</f>
        <v>101354.78</v>
      </c>
      <c r="G56" s="155">
        <f t="shared" si="33"/>
        <v>0</v>
      </c>
      <c r="H56" s="155">
        <f t="shared" si="33"/>
        <v>0</v>
      </c>
      <c r="I56" s="155">
        <f t="shared" si="5"/>
        <v>101354.78</v>
      </c>
      <c r="J56" s="155">
        <f t="shared" si="6"/>
        <v>383403.22</v>
      </c>
      <c r="K56" s="155">
        <f t="shared" si="7"/>
        <v>19834.22</v>
      </c>
    </row>
    <row r="57" spans="1:11" s="74" customFormat="1" ht="15">
      <c r="A57" s="50"/>
      <c r="B57" s="73"/>
      <c r="C57" s="132"/>
      <c r="D57" s="155"/>
      <c r="E57" s="155"/>
      <c r="F57" s="155"/>
      <c r="G57" s="155"/>
      <c r="H57" s="155"/>
      <c r="I57" s="153"/>
      <c r="J57" s="153"/>
      <c r="K57" s="153"/>
    </row>
    <row r="58" spans="1:11" ht="15">
      <c r="A58" s="50" t="s">
        <v>132</v>
      </c>
      <c r="B58" s="27"/>
      <c r="C58" s="132" t="s">
        <v>142</v>
      </c>
      <c r="D58" s="153">
        <f>D59+D60+D64+D65+D66</f>
        <v>1670071.36</v>
      </c>
      <c r="E58" s="153">
        <f>E59+E60+E64+E65+E66</f>
        <v>836238.36</v>
      </c>
      <c r="F58" s="153">
        <f t="shared" ref="F58" si="35">F59+F60+F64+F65+F66</f>
        <v>294776.76999999996</v>
      </c>
      <c r="G58" s="153">
        <f t="shared" ref="G58:H58" si="36">G59+G60+G64+G65+G66</f>
        <v>0</v>
      </c>
      <c r="H58" s="153">
        <f t="shared" si="36"/>
        <v>0</v>
      </c>
      <c r="I58" s="153">
        <f t="shared" si="5"/>
        <v>294776.76999999996</v>
      </c>
      <c r="J58" s="153">
        <f t="shared" si="6"/>
        <v>1375294.59</v>
      </c>
      <c r="K58" s="153">
        <f t="shared" si="7"/>
        <v>541461.59000000008</v>
      </c>
    </row>
    <row r="59" spans="1:11" ht="15">
      <c r="A59" s="70" t="s">
        <v>12</v>
      </c>
      <c r="B59" s="27"/>
      <c r="C59" s="121" t="s">
        <v>373</v>
      </c>
      <c r="D59" s="153">
        <f>33727+4270.26</f>
        <v>37997.26</v>
      </c>
      <c r="E59" s="153">
        <f>8432+4270.26</f>
        <v>12702.26</v>
      </c>
      <c r="F59" s="153">
        <v>6146.34</v>
      </c>
      <c r="G59" s="153">
        <v>0</v>
      </c>
      <c r="H59" s="153">
        <v>0</v>
      </c>
      <c r="I59" s="153">
        <f t="shared" si="5"/>
        <v>6146.34</v>
      </c>
      <c r="J59" s="153">
        <f t="shared" si="6"/>
        <v>31850.920000000002</v>
      </c>
      <c r="K59" s="153">
        <f t="shared" si="7"/>
        <v>6555.92</v>
      </c>
    </row>
    <row r="60" spans="1:11" ht="15" hidden="1">
      <c r="A60" s="70" t="s">
        <v>13</v>
      </c>
      <c r="B60" s="27"/>
      <c r="C60" s="121" t="s">
        <v>374</v>
      </c>
      <c r="D60" s="153"/>
      <c r="E60" s="153"/>
      <c r="F60" s="153">
        <v>0</v>
      </c>
      <c r="G60" s="153">
        <v>0</v>
      </c>
      <c r="H60" s="153">
        <v>0</v>
      </c>
      <c r="I60" s="153">
        <f t="shared" si="5"/>
        <v>0</v>
      </c>
      <c r="J60" s="153">
        <f t="shared" si="6"/>
        <v>0</v>
      </c>
      <c r="K60" s="153">
        <f t="shared" si="7"/>
        <v>0</v>
      </c>
    </row>
    <row r="61" spans="1:11" ht="18" customHeight="1">
      <c r="A61" s="70" t="s">
        <v>28</v>
      </c>
      <c r="B61" s="27"/>
      <c r="C61" s="121" t="s">
        <v>375</v>
      </c>
      <c r="D61" s="153">
        <f>1173868+143347</f>
        <v>1317215</v>
      </c>
      <c r="E61" s="153">
        <f>564836+143347</f>
        <v>708183</v>
      </c>
      <c r="F61" s="153">
        <v>236484.64</v>
      </c>
      <c r="G61" s="153">
        <v>0</v>
      </c>
      <c r="H61" s="153">
        <v>0</v>
      </c>
      <c r="I61" s="153">
        <f t="shared" si="5"/>
        <v>236484.64</v>
      </c>
      <c r="J61" s="153">
        <f t="shared" si="6"/>
        <v>1080730.3599999999</v>
      </c>
      <c r="K61" s="153">
        <f t="shared" si="7"/>
        <v>471698.36</v>
      </c>
    </row>
    <row r="62" spans="1:11" ht="15">
      <c r="A62" s="70" t="s">
        <v>24</v>
      </c>
      <c r="B62" s="27"/>
      <c r="C62" s="121" t="s">
        <v>376</v>
      </c>
      <c r="D62" s="153">
        <v>80500</v>
      </c>
      <c r="E62" s="153">
        <v>20125</v>
      </c>
      <c r="F62" s="153">
        <v>6813.52</v>
      </c>
      <c r="G62" s="153">
        <v>0</v>
      </c>
      <c r="H62" s="153">
        <v>0</v>
      </c>
      <c r="I62" s="153">
        <f t="shared" si="5"/>
        <v>6813.52</v>
      </c>
      <c r="J62" s="153">
        <f t="shared" si="6"/>
        <v>73686.48</v>
      </c>
      <c r="K62" s="153">
        <f t="shared" si="7"/>
        <v>13311.48</v>
      </c>
    </row>
    <row r="63" spans="1:11" ht="18" customHeight="1">
      <c r="A63" s="70" t="s">
        <v>25</v>
      </c>
      <c r="B63" s="27"/>
      <c r="C63" s="121" t="s">
        <v>377</v>
      </c>
      <c r="D63" s="153">
        <f>15510+2046.1</f>
        <v>17556.099999999999</v>
      </c>
      <c r="E63" s="153">
        <f>2046.1+3877</f>
        <v>5923.1</v>
      </c>
      <c r="F63" s="153">
        <v>3845.08</v>
      </c>
      <c r="G63" s="153">
        <v>0</v>
      </c>
      <c r="H63" s="153">
        <v>0</v>
      </c>
      <c r="I63" s="153">
        <f t="shared" si="5"/>
        <v>3845.08</v>
      </c>
      <c r="J63" s="153">
        <f t="shared" si="6"/>
        <v>13711.019999999999</v>
      </c>
      <c r="K63" s="153">
        <f t="shared" si="7"/>
        <v>2078.0200000000004</v>
      </c>
    </row>
    <row r="64" spans="1:11" s="74" customFormat="1" ht="17.25" customHeight="1">
      <c r="A64" s="88" t="s">
        <v>14</v>
      </c>
      <c r="B64" s="73"/>
      <c r="C64" s="123"/>
      <c r="D64" s="155">
        <f>SUM(D61:D63)</f>
        <v>1415271.1</v>
      </c>
      <c r="E64" s="155">
        <f t="shared" ref="E64:H64" si="37">SUM(E61:E63)</f>
        <v>734231.1</v>
      </c>
      <c r="F64" s="155">
        <f t="shared" ref="F64" si="38">SUM(F61:F63)</f>
        <v>247143.24</v>
      </c>
      <c r="G64" s="155">
        <f t="shared" si="37"/>
        <v>0</v>
      </c>
      <c r="H64" s="155">
        <f t="shared" si="37"/>
        <v>0</v>
      </c>
      <c r="I64" s="156">
        <f t="shared" si="5"/>
        <v>247143.24</v>
      </c>
      <c r="J64" s="156">
        <f t="shared" si="6"/>
        <v>1168127.8600000001</v>
      </c>
      <c r="K64" s="156">
        <f t="shared" si="7"/>
        <v>487087.86</v>
      </c>
    </row>
    <row r="65" spans="1:11" ht="15">
      <c r="A65" s="70" t="s">
        <v>15</v>
      </c>
      <c r="B65" s="27"/>
      <c r="C65" s="121" t="s">
        <v>378</v>
      </c>
      <c r="D65" s="153">
        <f>67450+31800</f>
        <v>99250</v>
      </c>
      <c r="E65" s="153">
        <f>31800+2000</f>
        <v>33800</v>
      </c>
      <c r="F65" s="153">
        <v>11800</v>
      </c>
      <c r="G65" s="153">
        <v>0</v>
      </c>
      <c r="H65" s="153">
        <v>0</v>
      </c>
      <c r="I65" s="153">
        <f t="shared" si="5"/>
        <v>11800</v>
      </c>
      <c r="J65" s="153">
        <f t="shared" si="6"/>
        <v>87450</v>
      </c>
      <c r="K65" s="153">
        <f t="shared" si="7"/>
        <v>22000</v>
      </c>
    </row>
    <row r="66" spans="1:11" ht="15">
      <c r="A66" s="70" t="s">
        <v>16</v>
      </c>
      <c r="B66" s="27"/>
      <c r="C66" s="121" t="s">
        <v>379</v>
      </c>
      <c r="D66" s="153">
        <f>40000+77553</f>
        <v>117553</v>
      </c>
      <c r="E66" s="153">
        <f>40000+15505</f>
        <v>55505</v>
      </c>
      <c r="F66" s="153">
        <f>72487.19-42800</f>
        <v>29687.190000000002</v>
      </c>
      <c r="G66" s="153">
        <v>0</v>
      </c>
      <c r="H66" s="153">
        <v>0</v>
      </c>
      <c r="I66" s="153">
        <f t="shared" si="5"/>
        <v>29687.190000000002</v>
      </c>
      <c r="J66" s="153">
        <f t="shared" si="6"/>
        <v>87865.81</v>
      </c>
      <c r="K66" s="153">
        <f t="shared" si="7"/>
        <v>25817.809999999998</v>
      </c>
    </row>
    <row r="67" spans="1:11" ht="15">
      <c r="A67" s="70" t="s">
        <v>17</v>
      </c>
      <c r="B67" s="27"/>
      <c r="C67" s="121" t="s">
        <v>380</v>
      </c>
      <c r="D67" s="153">
        <f>2100+5000-212.5</f>
        <v>6887.5</v>
      </c>
      <c r="E67" s="153">
        <f>2100+1250-212.5</f>
        <v>3137.5</v>
      </c>
      <c r="F67" s="153">
        <v>2100</v>
      </c>
      <c r="G67" s="153">
        <v>0</v>
      </c>
      <c r="H67" s="153">
        <v>0</v>
      </c>
      <c r="I67" s="153">
        <f t="shared" si="5"/>
        <v>2100</v>
      </c>
      <c r="J67" s="153">
        <f t="shared" si="6"/>
        <v>4787.5</v>
      </c>
      <c r="K67" s="153">
        <f t="shared" si="7"/>
        <v>1037.5</v>
      </c>
    </row>
    <row r="68" spans="1:11" ht="12.75" hidden="1" customHeight="1">
      <c r="A68" s="70"/>
      <c r="B68" s="27"/>
      <c r="C68" s="121"/>
      <c r="D68" s="153"/>
      <c r="E68" s="153"/>
      <c r="F68" s="153">
        <v>0</v>
      </c>
      <c r="G68" s="153">
        <v>0</v>
      </c>
      <c r="H68" s="153">
        <v>0</v>
      </c>
      <c r="I68" s="153">
        <f t="shared" si="5"/>
        <v>0</v>
      </c>
      <c r="J68" s="153">
        <f t="shared" si="6"/>
        <v>0</v>
      </c>
      <c r="K68" s="153">
        <f t="shared" si="7"/>
        <v>0</v>
      </c>
    </row>
    <row r="69" spans="1:11" ht="15" hidden="1">
      <c r="A69" s="70" t="s">
        <v>18</v>
      </c>
      <c r="B69" s="27"/>
      <c r="C69" s="121" t="s">
        <v>381</v>
      </c>
      <c r="D69" s="153"/>
      <c r="E69" s="153"/>
      <c r="F69" s="153">
        <v>0</v>
      </c>
      <c r="G69" s="153">
        <v>0</v>
      </c>
      <c r="H69" s="153">
        <v>0</v>
      </c>
      <c r="I69" s="153">
        <f t="shared" si="5"/>
        <v>0</v>
      </c>
      <c r="J69" s="153">
        <f t="shared" si="6"/>
        <v>0</v>
      </c>
      <c r="K69" s="153">
        <f t="shared" si="7"/>
        <v>0</v>
      </c>
    </row>
    <row r="70" spans="1:11" ht="25.5">
      <c r="A70" s="70" t="s">
        <v>27</v>
      </c>
      <c r="B70" s="27"/>
      <c r="C70" s="121" t="s">
        <v>382</v>
      </c>
      <c r="D70" s="153">
        <f>2950+157987</f>
        <v>160937</v>
      </c>
      <c r="E70" s="153">
        <f>2950+39540</f>
        <v>42490</v>
      </c>
      <c r="F70" s="153">
        <v>2950</v>
      </c>
      <c r="G70" s="153">
        <v>0</v>
      </c>
      <c r="H70" s="153">
        <v>0</v>
      </c>
      <c r="I70" s="153">
        <f t="shared" si="5"/>
        <v>2950</v>
      </c>
      <c r="J70" s="153">
        <f t="shared" si="6"/>
        <v>157987</v>
      </c>
      <c r="K70" s="153">
        <f t="shared" si="7"/>
        <v>39540</v>
      </c>
    </row>
    <row r="71" spans="1:11" ht="36.75" customHeight="1">
      <c r="A71" s="72" t="s">
        <v>159</v>
      </c>
      <c r="B71" s="27"/>
      <c r="C71" s="121" t="s">
        <v>383</v>
      </c>
      <c r="D71" s="153">
        <f>66574+48291.39</f>
        <v>114865.39</v>
      </c>
      <c r="E71" s="153">
        <f>16643+48291.39</f>
        <v>64934.39</v>
      </c>
      <c r="F71" s="153">
        <v>13802</v>
      </c>
      <c r="G71" s="153">
        <v>0</v>
      </c>
      <c r="H71" s="153">
        <v>0</v>
      </c>
      <c r="I71" s="153">
        <f t="shared" si="5"/>
        <v>13802</v>
      </c>
      <c r="J71" s="153">
        <f t="shared" si="6"/>
        <v>101063.39</v>
      </c>
      <c r="K71" s="153">
        <f t="shared" si="7"/>
        <v>51132.39</v>
      </c>
    </row>
    <row r="72" spans="1:11" s="74" customFormat="1" ht="12.75" customHeight="1">
      <c r="A72" s="91" t="s">
        <v>137</v>
      </c>
      <c r="B72" s="73"/>
      <c r="C72" s="123"/>
      <c r="D72" s="155">
        <f>SUM(D70:D71)</f>
        <v>275802.39</v>
      </c>
      <c r="E72" s="155">
        <f t="shared" ref="E72:H72" si="39">SUM(E70:E71)</f>
        <v>107424.39</v>
      </c>
      <c r="F72" s="155">
        <f t="shared" ref="F72" si="40">SUM(F70:F71)</f>
        <v>16752</v>
      </c>
      <c r="G72" s="155">
        <f t="shared" si="39"/>
        <v>0</v>
      </c>
      <c r="H72" s="155">
        <f t="shared" si="39"/>
        <v>0</v>
      </c>
      <c r="I72" s="155">
        <f t="shared" si="5"/>
        <v>16752</v>
      </c>
      <c r="J72" s="155">
        <f t="shared" si="6"/>
        <v>259050.39</v>
      </c>
      <c r="K72" s="155">
        <f t="shared" si="7"/>
        <v>90672.39</v>
      </c>
    </row>
    <row r="73" spans="1:11" ht="15">
      <c r="A73" s="70" t="s">
        <v>17</v>
      </c>
      <c r="B73" s="27"/>
      <c r="C73" s="121" t="s">
        <v>384</v>
      </c>
      <c r="D73" s="153">
        <f>1705.43+5000</f>
        <v>6705.43</v>
      </c>
      <c r="E73" s="153">
        <f>1705.43+1250</f>
        <v>2955.4300000000003</v>
      </c>
      <c r="F73" s="153">
        <v>1705.43</v>
      </c>
      <c r="G73" s="153">
        <v>0</v>
      </c>
      <c r="H73" s="153">
        <v>0</v>
      </c>
      <c r="I73" s="153">
        <f t="shared" ref="I73" si="41">F73+G73+H73</f>
        <v>1705.43</v>
      </c>
      <c r="J73" s="153">
        <f t="shared" ref="J73" si="42">D73-I73</f>
        <v>5000</v>
      </c>
      <c r="K73" s="153">
        <f t="shared" ref="K73" si="43">E73-I73</f>
        <v>1250.0000000000002</v>
      </c>
    </row>
    <row r="74" spans="1:11" ht="15">
      <c r="A74" s="70" t="s">
        <v>17</v>
      </c>
      <c r="B74" s="27"/>
      <c r="C74" s="121" t="s">
        <v>499</v>
      </c>
      <c r="D74" s="153">
        <v>212.5</v>
      </c>
      <c r="E74" s="153">
        <v>212.5</v>
      </c>
      <c r="F74" s="153">
        <v>212.5</v>
      </c>
      <c r="G74" s="153">
        <v>0</v>
      </c>
      <c r="H74" s="153">
        <v>0</v>
      </c>
      <c r="I74" s="153">
        <f t="shared" si="5"/>
        <v>212.5</v>
      </c>
      <c r="J74" s="153">
        <f t="shared" si="6"/>
        <v>0</v>
      </c>
      <c r="K74" s="153">
        <f t="shared" si="7"/>
        <v>0</v>
      </c>
    </row>
    <row r="75" spans="1:11" ht="15">
      <c r="A75" s="70"/>
      <c r="B75" s="27"/>
      <c r="C75" s="121"/>
      <c r="D75" s="153"/>
      <c r="E75" s="153"/>
      <c r="F75" s="153"/>
      <c r="G75" s="153"/>
      <c r="H75" s="153"/>
      <c r="I75" s="153"/>
      <c r="J75" s="153"/>
      <c r="K75" s="153"/>
    </row>
    <row r="76" spans="1:11" s="26" customFormat="1" ht="15">
      <c r="A76" s="111"/>
      <c r="B76" s="25"/>
      <c r="C76" s="123" t="s">
        <v>388</v>
      </c>
      <c r="D76" s="155">
        <f>D77+D80</f>
        <v>191203</v>
      </c>
      <c r="E76" s="155">
        <f t="shared" ref="E76:H76" si="44">E77+E80</f>
        <v>47801</v>
      </c>
      <c r="F76" s="155">
        <f t="shared" ref="F76" si="45">F77+F80</f>
        <v>47801</v>
      </c>
      <c r="G76" s="155">
        <f t="shared" si="44"/>
        <v>0</v>
      </c>
      <c r="H76" s="155">
        <f t="shared" si="44"/>
        <v>0</v>
      </c>
      <c r="I76" s="155">
        <f t="shared" si="5"/>
        <v>47801</v>
      </c>
      <c r="J76" s="155">
        <f t="shared" si="6"/>
        <v>143402</v>
      </c>
      <c r="K76" s="155">
        <f t="shared" si="7"/>
        <v>0</v>
      </c>
    </row>
    <row r="77" spans="1:11" ht="15">
      <c r="A77" s="70" t="s">
        <v>423</v>
      </c>
      <c r="B77" s="27"/>
      <c r="C77" s="121" t="s">
        <v>385</v>
      </c>
      <c r="D77" s="153">
        <v>146854</v>
      </c>
      <c r="E77" s="153">
        <v>36714</v>
      </c>
      <c r="F77" s="153">
        <v>36714</v>
      </c>
      <c r="G77" s="153">
        <v>0</v>
      </c>
      <c r="H77" s="153">
        <v>0</v>
      </c>
      <c r="I77" s="153">
        <f t="shared" si="5"/>
        <v>36714</v>
      </c>
      <c r="J77" s="153">
        <f t="shared" si="6"/>
        <v>110140</v>
      </c>
      <c r="K77" s="153">
        <f t="shared" si="7"/>
        <v>0</v>
      </c>
    </row>
    <row r="78" spans="1:11" ht="25.5">
      <c r="A78" s="79" t="s">
        <v>98</v>
      </c>
      <c r="B78" s="27"/>
      <c r="C78" s="121" t="s">
        <v>386</v>
      </c>
      <c r="D78" s="153">
        <v>32307</v>
      </c>
      <c r="E78" s="153">
        <v>8077</v>
      </c>
      <c r="F78" s="153">
        <v>8077</v>
      </c>
      <c r="G78" s="153">
        <v>0</v>
      </c>
      <c r="H78" s="153">
        <v>0</v>
      </c>
      <c r="I78" s="153">
        <f t="shared" si="5"/>
        <v>8077</v>
      </c>
      <c r="J78" s="153">
        <f t="shared" si="6"/>
        <v>24230</v>
      </c>
      <c r="K78" s="153">
        <f t="shared" si="7"/>
        <v>0</v>
      </c>
    </row>
    <row r="79" spans="1:11" ht="15">
      <c r="A79" s="79" t="s">
        <v>99</v>
      </c>
      <c r="B79" s="27"/>
      <c r="C79" s="121" t="s">
        <v>387</v>
      </c>
      <c r="D79" s="153">
        <v>12042</v>
      </c>
      <c r="E79" s="153">
        <v>3010</v>
      </c>
      <c r="F79" s="153">
        <v>3010</v>
      </c>
      <c r="G79" s="153">
        <v>0</v>
      </c>
      <c r="H79" s="153">
        <v>0</v>
      </c>
      <c r="I79" s="153">
        <f t="shared" si="5"/>
        <v>3010</v>
      </c>
      <c r="J79" s="153">
        <f t="shared" si="6"/>
        <v>9032</v>
      </c>
      <c r="K79" s="153">
        <f t="shared" si="7"/>
        <v>0</v>
      </c>
    </row>
    <row r="80" spans="1:11" s="74" customFormat="1" ht="15">
      <c r="A80" s="50" t="s">
        <v>139</v>
      </c>
      <c r="B80" s="73"/>
      <c r="C80" s="123"/>
      <c r="D80" s="155">
        <f t="shared" ref="D80:H80" si="46">SUM(D78:D79)</f>
        <v>44349</v>
      </c>
      <c r="E80" s="155">
        <f t="shared" si="46"/>
        <v>11087</v>
      </c>
      <c r="F80" s="155">
        <f t="shared" ref="F80" si="47">SUM(F78:F79)</f>
        <v>11087</v>
      </c>
      <c r="G80" s="155">
        <f t="shared" si="46"/>
        <v>0</v>
      </c>
      <c r="H80" s="155">
        <f t="shared" si="46"/>
        <v>0</v>
      </c>
      <c r="I80" s="155">
        <f t="shared" si="5"/>
        <v>11087</v>
      </c>
      <c r="J80" s="155">
        <f t="shared" si="6"/>
        <v>33262</v>
      </c>
      <c r="K80" s="155">
        <f t="shared" si="7"/>
        <v>0</v>
      </c>
    </row>
    <row r="81" spans="1:12" ht="147" hidden="1" customHeight="1">
      <c r="A81" s="80" t="s">
        <v>283</v>
      </c>
      <c r="B81" s="27"/>
      <c r="C81" s="121"/>
      <c r="D81" s="153">
        <f>D82+D83</f>
        <v>0</v>
      </c>
      <c r="E81" s="153">
        <f>E82+E83</f>
        <v>0</v>
      </c>
      <c r="F81" s="153">
        <v>0</v>
      </c>
      <c r="G81" s="153">
        <f t="shared" ref="G81:H81" si="48">G82+G83</f>
        <v>0</v>
      </c>
      <c r="H81" s="153">
        <f t="shared" si="48"/>
        <v>0</v>
      </c>
      <c r="I81" s="153">
        <f t="shared" si="5"/>
        <v>0</v>
      </c>
      <c r="J81" s="153">
        <f t="shared" si="6"/>
        <v>0</v>
      </c>
      <c r="K81" s="153">
        <f t="shared" si="7"/>
        <v>0</v>
      </c>
    </row>
    <row r="82" spans="1:12" ht="12.75" hidden="1" customHeight="1">
      <c r="A82" s="70" t="s">
        <v>16</v>
      </c>
      <c r="B82" s="27"/>
      <c r="C82" s="121" t="s">
        <v>167</v>
      </c>
      <c r="D82" s="153">
        <v>0</v>
      </c>
      <c r="E82" s="153">
        <v>0</v>
      </c>
      <c r="F82" s="153">
        <v>0</v>
      </c>
      <c r="G82" s="153"/>
      <c r="H82" s="153"/>
      <c r="I82" s="153">
        <f t="shared" si="5"/>
        <v>0</v>
      </c>
      <c r="J82" s="153">
        <f t="shared" si="6"/>
        <v>0</v>
      </c>
      <c r="K82" s="153">
        <f t="shared" si="7"/>
        <v>0</v>
      </c>
    </row>
    <row r="83" spans="1:12" ht="12.75" hidden="1" customHeight="1">
      <c r="A83" s="70" t="s">
        <v>16</v>
      </c>
      <c r="B83" s="27"/>
      <c r="C83" s="121" t="s">
        <v>168</v>
      </c>
      <c r="D83" s="153">
        <v>0</v>
      </c>
      <c r="E83" s="153">
        <v>0</v>
      </c>
      <c r="F83" s="153">
        <v>0</v>
      </c>
      <c r="G83" s="153"/>
      <c r="H83" s="153"/>
      <c r="I83" s="153">
        <f t="shared" ref="I83:I148" si="49">F83+G83+H83</f>
        <v>0</v>
      </c>
      <c r="J83" s="153">
        <f t="shared" ref="J83:J148" si="50">D83-I83</f>
        <v>0</v>
      </c>
      <c r="K83" s="153">
        <f t="shared" ref="K83:K148" si="51">E83-I83</f>
        <v>0</v>
      </c>
    </row>
    <row r="84" spans="1:12" ht="12.75" hidden="1" customHeight="1">
      <c r="A84" s="70" t="s">
        <v>16</v>
      </c>
      <c r="B84" s="27"/>
      <c r="C84" s="121" t="s">
        <v>160</v>
      </c>
      <c r="D84" s="153">
        <f>1000-1000</f>
        <v>0</v>
      </c>
      <c r="E84" s="153">
        <f>1000-1000</f>
        <v>0</v>
      </c>
      <c r="F84" s="153">
        <v>0</v>
      </c>
      <c r="G84" s="153"/>
      <c r="H84" s="153"/>
      <c r="I84" s="153">
        <f t="shared" si="49"/>
        <v>0</v>
      </c>
      <c r="J84" s="153">
        <f t="shared" si="50"/>
        <v>0</v>
      </c>
      <c r="K84" s="153">
        <f t="shared" si="51"/>
        <v>0</v>
      </c>
    </row>
    <row r="85" spans="1:12" ht="15">
      <c r="A85" s="70"/>
      <c r="B85" s="27"/>
      <c r="C85" s="121"/>
      <c r="D85" s="153"/>
      <c r="E85" s="153"/>
      <c r="F85" s="153"/>
      <c r="G85" s="153"/>
      <c r="H85" s="153"/>
      <c r="I85" s="153"/>
      <c r="J85" s="153"/>
      <c r="K85" s="153"/>
    </row>
    <row r="86" spans="1:12" ht="31.5">
      <c r="A86" s="130" t="s">
        <v>299</v>
      </c>
      <c r="B86" s="27"/>
      <c r="C86" s="122" t="s">
        <v>298</v>
      </c>
      <c r="D86" s="156">
        <f>D87</f>
        <v>5402</v>
      </c>
      <c r="E86" s="156">
        <f>E87</f>
        <v>0</v>
      </c>
      <c r="F86" s="156">
        <f t="shared" ref="F86:H86" si="52">F87</f>
        <v>0</v>
      </c>
      <c r="G86" s="156">
        <f t="shared" si="52"/>
        <v>0</v>
      </c>
      <c r="H86" s="156">
        <f t="shared" si="52"/>
        <v>0</v>
      </c>
      <c r="I86" s="156">
        <f t="shared" si="49"/>
        <v>0</v>
      </c>
      <c r="J86" s="156">
        <f t="shared" si="50"/>
        <v>5402</v>
      </c>
      <c r="K86" s="156">
        <f t="shared" si="51"/>
        <v>0</v>
      </c>
    </row>
    <row r="87" spans="1:12" s="60" customFormat="1" ht="25.5">
      <c r="A87" s="70" t="s">
        <v>19</v>
      </c>
      <c r="B87" s="59"/>
      <c r="C87" s="122" t="s">
        <v>404</v>
      </c>
      <c r="D87" s="153">
        <v>5402</v>
      </c>
      <c r="E87" s="153">
        <v>0</v>
      </c>
      <c r="F87" s="153">
        <v>0</v>
      </c>
      <c r="G87" s="153">
        <v>0</v>
      </c>
      <c r="H87" s="153">
        <v>0</v>
      </c>
      <c r="I87" s="153">
        <f t="shared" si="49"/>
        <v>0</v>
      </c>
      <c r="J87" s="153">
        <f t="shared" si="50"/>
        <v>5402</v>
      </c>
      <c r="K87" s="153">
        <f t="shared" si="51"/>
        <v>0</v>
      </c>
    </row>
    <row r="88" spans="1:12" s="60" customFormat="1" ht="15">
      <c r="A88" s="70"/>
      <c r="B88" s="59"/>
      <c r="C88" s="122"/>
      <c r="D88" s="156"/>
      <c r="E88" s="156"/>
      <c r="F88" s="156"/>
      <c r="G88" s="156"/>
      <c r="H88" s="156"/>
      <c r="I88" s="153"/>
      <c r="J88" s="153"/>
      <c r="K88" s="153"/>
    </row>
    <row r="89" spans="1:12" ht="15">
      <c r="A89" s="70" t="s">
        <v>17</v>
      </c>
      <c r="B89" s="27"/>
      <c r="C89" s="122" t="s">
        <v>405</v>
      </c>
      <c r="D89" s="153">
        <v>64976</v>
      </c>
      <c r="E89" s="153">
        <v>0</v>
      </c>
      <c r="F89" s="153">
        <v>0</v>
      </c>
      <c r="G89" s="153">
        <v>0</v>
      </c>
      <c r="H89" s="153">
        <v>0</v>
      </c>
      <c r="I89" s="153">
        <f t="shared" si="49"/>
        <v>0</v>
      </c>
      <c r="J89" s="153">
        <f t="shared" si="50"/>
        <v>64976</v>
      </c>
      <c r="K89" s="153">
        <f t="shared" si="51"/>
        <v>0</v>
      </c>
    </row>
    <row r="90" spans="1:12" s="60" customFormat="1" ht="15">
      <c r="A90" s="76"/>
      <c r="B90" s="59"/>
      <c r="C90" s="122"/>
      <c r="D90" s="156"/>
      <c r="E90" s="156"/>
      <c r="F90" s="156"/>
      <c r="G90" s="156"/>
      <c r="H90" s="156"/>
      <c r="I90" s="153"/>
      <c r="J90" s="153"/>
      <c r="K90" s="153"/>
    </row>
    <row r="91" spans="1:12" s="60" customFormat="1" ht="14.25">
      <c r="A91" s="81" t="s">
        <v>146</v>
      </c>
      <c r="B91" s="59"/>
      <c r="C91" s="122" t="s">
        <v>147</v>
      </c>
      <c r="D91" s="156">
        <f>D101</f>
        <v>5000</v>
      </c>
      <c r="E91" s="156">
        <f>E101</f>
        <v>0</v>
      </c>
      <c r="F91" s="156">
        <f t="shared" ref="F91" si="53">F101</f>
        <v>0</v>
      </c>
      <c r="G91" s="156">
        <f t="shared" ref="G91:H91" si="54">G101</f>
        <v>0</v>
      </c>
      <c r="H91" s="156">
        <f t="shared" si="54"/>
        <v>0</v>
      </c>
      <c r="I91" s="156">
        <f t="shared" si="49"/>
        <v>0</v>
      </c>
      <c r="J91" s="156">
        <f t="shared" si="50"/>
        <v>5000</v>
      </c>
      <c r="K91" s="156">
        <f t="shared" si="51"/>
        <v>0</v>
      </c>
      <c r="L91" s="71"/>
    </row>
    <row r="92" spans="1:12" s="60" customFormat="1" ht="12.75" hidden="1" customHeight="1">
      <c r="A92" s="70" t="s">
        <v>16</v>
      </c>
      <c r="B92" s="59"/>
      <c r="C92" s="121" t="s">
        <v>105</v>
      </c>
      <c r="D92" s="153"/>
      <c r="E92" s="153"/>
      <c r="F92" s="153"/>
      <c r="G92" s="156"/>
      <c r="H92" s="156"/>
      <c r="I92" s="153">
        <f t="shared" si="49"/>
        <v>0</v>
      </c>
      <c r="J92" s="153">
        <f t="shared" si="50"/>
        <v>0</v>
      </c>
      <c r="K92" s="153">
        <f t="shared" si="51"/>
        <v>0</v>
      </c>
      <c r="L92" s="71"/>
    </row>
    <row r="93" spans="1:12" s="60" customFormat="1" ht="12.75" hidden="1" customHeight="1">
      <c r="A93" s="70" t="s">
        <v>16</v>
      </c>
      <c r="B93" s="59"/>
      <c r="C93" s="121" t="s">
        <v>106</v>
      </c>
      <c r="D93" s="153"/>
      <c r="E93" s="153"/>
      <c r="F93" s="153"/>
      <c r="G93" s="156"/>
      <c r="H93" s="156"/>
      <c r="I93" s="153">
        <f t="shared" si="49"/>
        <v>0</v>
      </c>
      <c r="J93" s="153">
        <f t="shared" si="50"/>
        <v>0</v>
      </c>
      <c r="K93" s="153">
        <f t="shared" si="51"/>
        <v>0</v>
      </c>
      <c r="L93" s="71"/>
    </row>
    <row r="94" spans="1:12" s="60" customFormat="1" ht="12.75" hidden="1" customHeight="1">
      <c r="A94" s="70"/>
      <c r="B94" s="59"/>
      <c r="C94" s="122"/>
      <c r="D94" s="156">
        <f>SUM(D92:D93)</f>
        <v>0</v>
      </c>
      <c r="E94" s="156">
        <f>SUM(E92:E93)</f>
        <v>0</v>
      </c>
      <c r="F94" s="156">
        <f t="shared" ref="F94" si="55">SUM(F92:F93)</f>
        <v>0</v>
      </c>
      <c r="G94" s="156">
        <f t="shared" ref="G94:H94" si="56">SUM(G92:G93)</f>
        <v>0</v>
      </c>
      <c r="H94" s="156">
        <f t="shared" si="56"/>
        <v>0</v>
      </c>
      <c r="I94" s="153">
        <f t="shared" si="49"/>
        <v>0</v>
      </c>
      <c r="J94" s="153">
        <f t="shared" si="50"/>
        <v>0</v>
      </c>
      <c r="K94" s="153">
        <f t="shared" si="51"/>
        <v>0</v>
      </c>
      <c r="L94" s="71"/>
    </row>
    <row r="95" spans="1:12" s="60" customFormat="1" ht="12.75" hidden="1" customHeight="1">
      <c r="A95" s="82"/>
      <c r="B95" s="59"/>
      <c r="C95" s="122"/>
      <c r="D95" s="156"/>
      <c r="E95" s="156"/>
      <c r="F95" s="156"/>
      <c r="G95" s="156"/>
      <c r="H95" s="156"/>
      <c r="I95" s="153">
        <f t="shared" si="49"/>
        <v>0</v>
      </c>
      <c r="J95" s="153">
        <f t="shared" si="50"/>
        <v>0</v>
      </c>
      <c r="K95" s="153">
        <f t="shared" si="51"/>
        <v>0</v>
      </c>
      <c r="L95" s="71"/>
    </row>
    <row r="96" spans="1:12" ht="12.75" hidden="1" customHeight="1">
      <c r="A96" s="70" t="s">
        <v>21</v>
      </c>
      <c r="B96" s="27"/>
      <c r="C96" s="121" t="s">
        <v>92</v>
      </c>
      <c r="D96" s="153"/>
      <c r="E96" s="153"/>
      <c r="F96" s="153"/>
      <c r="G96" s="153"/>
      <c r="H96" s="153"/>
      <c r="I96" s="153">
        <f t="shared" si="49"/>
        <v>0</v>
      </c>
      <c r="J96" s="153">
        <f t="shared" si="50"/>
        <v>0</v>
      </c>
      <c r="K96" s="153">
        <f t="shared" si="51"/>
        <v>0</v>
      </c>
    </row>
    <row r="97" spans="1:12" ht="12.75" hidden="1" customHeight="1">
      <c r="A97" s="79" t="s">
        <v>98</v>
      </c>
      <c r="B97" s="27"/>
      <c r="C97" s="121" t="s">
        <v>93</v>
      </c>
      <c r="D97" s="153"/>
      <c r="E97" s="153"/>
      <c r="F97" s="153"/>
      <c r="G97" s="153"/>
      <c r="H97" s="153"/>
      <c r="I97" s="153">
        <f t="shared" si="49"/>
        <v>0</v>
      </c>
      <c r="J97" s="153">
        <f t="shared" si="50"/>
        <v>0</v>
      </c>
      <c r="K97" s="153">
        <f t="shared" si="51"/>
        <v>0</v>
      </c>
    </row>
    <row r="98" spans="1:12" ht="14.25" hidden="1" customHeight="1">
      <c r="A98" s="79" t="s">
        <v>99</v>
      </c>
      <c r="B98" s="27"/>
      <c r="C98" s="121" t="s">
        <v>94</v>
      </c>
      <c r="D98" s="153"/>
      <c r="E98" s="153"/>
      <c r="F98" s="153"/>
      <c r="G98" s="153"/>
      <c r="H98" s="153"/>
      <c r="I98" s="153">
        <f t="shared" si="49"/>
        <v>0</v>
      </c>
      <c r="J98" s="153">
        <f t="shared" si="50"/>
        <v>0</v>
      </c>
      <c r="K98" s="153">
        <f t="shared" si="51"/>
        <v>0</v>
      </c>
    </row>
    <row r="99" spans="1:12" s="74" customFormat="1" ht="13.5" hidden="1" customHeight="1">
      <c r="A99" s="75" t="s">
        <v>78</v>
      </c>
      <c r="B99" s="73"/>
      <c r="C99" s="123"/>
      <c r="D99" s="155">
        <f t="shared" ref="D99:H99" si="57">SUM(D97:D98)</f>
        <v>0</v>
      </c>
      <c r="E99" s="155">
        <f>SUM(E97:E98)</f>
        <v>0</v>
      </c>
      <c r="F99" s="155">
        <f t="shared" ref="F99" si="58">SUM(F97:F98)</f>
        <v>0</v>
      </c>
      <c r="G99" s="155">
        <f t="shared" si="57"/>
        <v>0</v>
      </c>
      <c r="H99" s="155">
        <f t="shared" si="57"/>
        <v>0</v>
      </c>
      <c r="I99" s="153">
        <f t="shared" si="49"/>
        <v>0</v>
      </c>
      <c r="J99" s="153">
        <f t="shared" si="50"/>
        <v>0</v>
      </c>
      <c r="K99" s="153">
        <f t="shared" si="51"/>
        <v>0</v>
      </c>
      <c r="L99" s="83"/>
    </row>
    <row r="100" spans="1:12" s="60" customFormat="1" ht="12.75" hidden="1" customHeight="1">
      <c r="A100" s="76" t="s">
        <v>114</v>
      </c>
      <c r="B100" s="59"/>
      <c r="C100" s="122"/>
      <c r="D100" s="156">
        <f t="shared" ref="D100:H100" si="59">D96+D99</f>
        <v>0</v>
      </c>
      <c r="E100" s="156">
        <f>E96+E99</f>
        <v>0</v>
      </c>
      <c r="F100" s="156">
        <f t="shared" ref="F100" si="60">F96+F99</f>
        <v>0</v>
      </c>
      <c r="G100" s="156">
        <f t="shared" si="59"/>
        <v>0</v>
      </c>
      <c r="H100" s="156">
        <f t="shared" si="59"/>
        <v>0</v>
      </c>
      <c r="I100" s="153">
        <f t="shared" si="49"/>
        <v>0</v>
      </c>
      <c r="J100" s="153">
        <f t="shared" si="50"/>
        <v>0</v>
      </c>
      <c r="K100" s="153">
        <f t="shared" si="51"/>
        <v>0</v>
      </c>
      <c r="L100" s="71"/>
    </row>
    <row r="101" spans="1:12" s="60" customFormat="1" ht="15">
      <c r="A101" s="70" t="s">
        <v>17</v>
      </c>
      <c r="B101" s="59"/>
      <c r="C101" s="122" t="s">
        <v>406</v>
      </c>
      <c r="D101" s="153">
        <v>5000</v>
      </c>
      <c r="E101" s="153">
        <v>0</v>
      </c>
      <c r="F101" s="153">
        <v>0</v>
      </c>
      <c r="G101" s="153">
        <v>0</v>
      </c>
      <c r="H101" s="153">
        <v>0</v>
      </c>
      <c r="I101" s="153">
        <f t="shared" si="49"/>
        <v>0</v>
      </c>
      <c r="J101" s="153">
        <f t="shared" si="50"/>
        <v>5000</v>
      </c>
      <c r="K101" s="153">
        <f t="shared" si="51"/>
        <v>0</v>
      </c>
    </row>
    <row r="102" spans="1:12" s="60" customFormat="1" ht="15">
      <c r="A102" s="84"/>
      <c r="B102" s="59"/>
      <c r="C102" s="122"/>
      <c r="D102" s="156"/>
      <c r="E102" s="156"/>
      <c r="F102" s="156"/>
      <c r="G102" s="156"/>
      <c r="H102" s="156"/>
      <c r="I102" s="153"/>
      <c r="J102" s="153"/>
      <c r="K102" s="153"/>
    </row>
    <row r="103" spans="1:12" s="60" customFormat="1" ht="14.25">
      <c r="A103" s="47" t="s">
        <v>126</v>
      </c>
      <c r="B103" s="85"/>
      <c r="C103" s="122" t="s">
        <v>148</v>
      </c>
      <c r="D103" s="156">
        <f>D105</f>
        <v>1860</v>
      </c>
      <c r="E103" s="156">
        <f>E105</f>
        <v>465</v>
      </c>
      <c r="F103" s="156">
        <f t="shared" ref="F103" si="61">F105</f>
        <v>0</v>
      </c>
      <c r="G103" s="156">
        <f t="shared" ref="G103:H103" si="62">G105</f>
        <v>0</v>
      </c>
      <c r="H103" s="156">
        <f t="shared" si="62"/>
        <v>0</v>
      </c>
      <c r="I103" s="156">
        <f t="shared" si="49"/>
        <v>0</v>
      </c>
      <c r="J103" s="156">
        <f t="shared" si="50"/>
        <v>1860</v>
      </c>
      <c r="K103" s="156">
        <f t="shared" si="51"/>
        <v>465</v>
      </c>
    </row>
    <row r="104" spans="1:12" s="60" customFormat="1" ht="12.75" hidden="1" customHeight="1">
      <c r="A104" s="70" t="s">
        <v>18</v>
      </c>
      <c r="B104" s="85"/>
      <c r="C104" s="121" t="s">
        <v>117</v>
      </c>
      <c r="D104" s="153">
        <v>0</v>
      </c>
      <c r="E104" s="153">
        <v>0</v>
      </c>
      <c r="F104" s="153">
        <v>0</v>
      </c>
      <c r="G104" s="153"/>
      <c r="H104" s="153"/>
      <c r="I104" s="153">
        <f t="shared" si="49"/>
        <v>0</v>
      </c>
      <c r="J104" s="153">
        <f t="shared" si="50"/>
        <v>0</v>
      </c>
      <c r="K104" s="153">
        <f t="shared" si="51"/>
        <v>0</v>
      </c>
    </row>
    <row r="105" spans="1:12" s="60" customFormat="1" ht="25.5">
      <c r="A105" s="72" t="s">
        <v>26</v>
      </c>
      <c r="B105" s="85"/>
      <c r="C105" s="121" t="s">
        <v>393</v>
      </c>
      <c r="D105" s="153">
        <v>1860</v>
      </c>
      <c r="E105" s="153">
        <v>465</v>
      </c>
      <c r="F105" s="153"/>
      <c r="G105" s="153">
        <v>0</v>
      </c>
      <c r="H105" s="153">
        <v>0</v>
      </c>
      <c r="I105" s="153">
        <f t="shared" si="49"/>
        <v>0</v>
      </c>
      <c r="J105" s="153">
        <f t="shared" si="50"/>
        <v>1860</v>
      </c>
      <c r="K105" s="153">
        <f t="shared" si="51"/>
        <v>465</v>
      </c>
    </row>
    <row r="106" spans="1:12" s="60" customFormat="1" ht="15">
      <c r="A106" s="78"/>
      <c r="B106" s="85"/>
      <c r="C106" s="122"/>
      <c r="D106" s="156"/>
      <c r="E106" s="156"/>
      <c r="F106" s="156"/>
      <c r="G106" s="156"/>
      <c r="H106" s="156"/>
      <c r="I106" s="153"/>
      <c r="J106" s="153"/>
      <c r="K106" s="153"/>
    </row>
    <row r="107" spans="1:12" s="60" customFormat="1" ht="14.25">
      <c r="A107" s="47" t="s">
        <v>127</v>
      </c>
      <c r="B107" s="85"/>
      <c r="C107" s="122" t="s">
        <v>149</v>
      </c>
      <c r="D107" s="156">
        <f t="shared" ref="D107:H107" si="63">D108</f>
        <v>99900</v>
      </c>
      <c r="E107" s="156">
        <f t="shared" si="63"/>
        <v>24975</v>
      </c>
      <c r="F107" s="156">
        <f t="shared" si="63"/>
        <v>11518.279999999999</v>
      </c>
      <c r="G107" s="156">
        <f t="shared" si="63"/>
        <v>0</v>
      </c>
      <c r="H107" s="156">
        <f t="shared" si="63"/>
        <v>0</v>
      </c>
      <c r="I107" s="156">
        <f t="shared" si="49"/>
        <v>11518.279999999999</v>
      </c>
      <c r="J107" s="156">
        <f t="shared" si="50"/>
        <v>88381.72</v>
      </c>
      <c r="K107" s="156">
        <f t="shared" si="51"/>
        <v>13456.720000000001</v>
      </c>
    </row>
    <row r="108" spans="1:12" s="60" customFormat="1" ht="14.25">
      <c r="A108" s="47" t="s">
        <v>128</v>
      </c>
      <c r="B108" s="85"/>
      <c r="C108" s="122" t="s">
        <v>150</v>
      </c>
      <c r="D108" s="156">
        <f t="shared" ref="D108:H108" si="64">D109+D120+D126+D125</f>
        <v>99900</v>
      </c>
      <c r="E108" s="156">
        <f t="shared" si="64"/>
        <v>24975</v>
      </c>
      <c r="F108" s="156">
        <f t="shared" si="64"/>
        <v>11518.279999999999</v>
      </c>
      <c r="G108" s="156">
        <f t="shared" si="64"/>
        <v>0</v>
      </c>
      <c r="H108" s="156">
        <f t="shared" si="64"/>
        <v>0</v>
      </c>
      <c r="I108" s="156">
        <f t="shared" si="49"/>
        <v>11518.279999999999</v>
      </c>
      <c r="J108" s="156">
        <f t="shared" si="50"/>
        <v>88381.72</v>
      </c>
      <c r="K108" s="156">
        <f t="shared" si="51"/>
        <v>13456.720000000001</v>
      </c>
    </row>
    <row r="109" spans="1:12" s="60" customFormat="1" ht="25.5">
      <c r="A109" s="50" t="s">
        <v>138</v>
      </c>
      <c r="B109" s="85"/>
      <c r="C109" s="122"/>
      <c r="D109" s="156">
        <f t="shared" ref="D109:H109" si="65">D110+D115+D118</f>
        <v>72424</v>
      </c>
      <c r="E109" s="156">
        <f t="shared" si="65"/>
        <v>18105</v>
      </c>
      <c r="F109" s="156">
        <f t="shared" si="65"/>
        <v>11518.279999999999</v>
      </c>
      <c r="G109" s="156">
        <f t="shared" si="65"/>
        <v>0</v>
      </c>
      <c r="H109" s="156">
        <f t="shared" si="65"/>
        <v>0</v>
      </c>
      <c r="I109" s="156">
        <f t="shared" si="49"/>
        <v>11518.279999999999</v>
      </c>
      <c r="J109" s="156">
        <f t="shared" si="50"/>
        <v>60905.72</v>
      </c>
      <c r="K109" s="156">
        <f t="shared" si="51"/>
        <v>6586.7200000000012</v>
      </c>
    </row>
    <row r="110" spans="1:12" ht="15">
      <c r="A110" s="70" t="s">
        <v>11</v>
      </c>
      <c r="B110" s="27"/>
      <c r="C110" s="121" t="s">
        <v>394</v>
      </c>
      <c r="D110" s="153">
        <v>46308</v>
      </c>
      <c r="E110" s="153">
        <v>11577</v>
      </c>
      <c r="F110" s="153">
        <v>9469.49</v>
      </c>
      <c r="G110" s="153">
        <v>0</v>
      </c>
      <c r="H110" s="153">
        <v>0</v>
      </c>
      <c r="I110" s="153">
        <f t="shared" si="49"/>
        <v>9469.49</v>
      </c>
      <c r="J110" s="153">
        <f t="shared" si="50"/>
        <v>36838.51</v>
      </c>
      <c r="K110" s="153">
        <f t="shared" si="51"/>
        <v>2107.5100000000002</v>
      </c>
    </row>
    <row r="111" spans="1:12" ht="12.75" customHeight="1">
      <c r="A111" s="70"/>
      <c r="B111" s="27"/>
      <c r="C111" s="121"/>
      <c r="D111" s="153"/>
      <c r="E111" s="153"/>
      <c r="F111" s="153"/>
      <c r="G111" s="153"/>
      <c r="H111" s="153"/>
      <c r="I111" s="153"/>
      <c r="J111" s="153"/>
      <c r="K111" s="153"/>
    </row>
    <row r="112" spans="1:12" ht="38.25">
      <c r="A112" s="70" t="s">
        <v>23</v>
      </c>
      <c r="B112" s="27"/>
      <c r="C112" s="121" t="s">
        <v>395</v>
      </c>
      <c r="D112" s="153">
        <v>3000</v>
      </c>
      <c r="E112" s="153">
        <v>750</v>
      </c>
      <c r="F112" s="153">
        <v>0</v>
      </c>
      <c r="G112" s="153">
        <v>0</v>
      </c>
      <c r="H112" s="153">
        <v>0</v>
      </c>
      <c r="I112" s="153">
        <f t="shared" si="49"/>
        <v>0</v>
      </c>
      <c r="J112" s="153">
        <f t="shared" si="50"/>
        <v>3000</v>
      </c>
      <c r="K112" s="153">
        <f t="shared" si="51"/>
        <v>750</v>
      </c>
    </row>
    <row r="113" spans="1:11" ht="15">
      <c r="A113" s="70" t="s">
        <v>13</v>
      </c>
      <c r="B113" s="27"/>
      <c r="C113" s="121" t="s">
        <v>398</v>
      </c>
      <c r="D113" s="153">
        <v>4731</v>
      </c>
      <c r="E113" s="153">
        <v>1182</v>
      </c>
      <c r="F113" s="153">
        <v>0</v>
      </c>
      <c r="G113" s="153">
        <v>0</v>
      </c>
      <c r="H113" s="153">
        <v>0</v>
      </c>
      <c r="I113" s="153">
        <f t="shared" si="49"/>
        <v>0</v>
      </c>
      <c r="J113" s="153">
        <f t="shared" si="50"/>
        <v>4731</v>
      </c>
      <c r="K113" s="153">
        <f t="shared" si="51"/>
        <v>1182</v>
      </c>
    </row>
    <row r="114" spans="1:11" ht="15">
      <c r="A114" s="70" t="s">
        <v>16</v>
      </c>
      <c r="B114" s="27"/>
      <c r="C114" s="121" t="s">
        <v>399</v>
      </c>
      <c r="D114" s="153">
        <v>4400</v>
      </c>
      <c r="E114" s="153">
        <v>1100</v>
      </c>
      <c r="F114" s="153">
        <v>0</v>
      </c>
      <c r="G114" s="153">
        <v>0</v>
      </c>
      <c r="H114" s="153">
        <v>0</v>
      </c>
      <c r="I114" s="153">
        <f t="shared" si="49"/>
        <v>0</v>
      </c>
      <c r="J114" s="153">
        <f t="shared" si="50"/>
        <v>4400</v>
      </c>
      <c r="K114" s="153">
        <f t="shared" si="51"/>
        <v>1100</v>
      </c>
    </row>
    <row r="115" spans="1:11" s="74" customFormat="1" ht="13.5" customHeight="1">
      <c r="A115" s="75" t="s">
        <v>80</v>
      </c>
      <c r="B115" s="73"/>
      <c r="C115" s="123"/>
      <c r="D115" s="155">
        <f>SUM(D112:D114)</f>
        <v>12131</v>
      </c>
      <c r="E115" s="155">
        <f t="shared" ref="E115:H115" si="66">SUM(E112:E114)</f>
        <v>3032</v>
      </c>
      <c r="F115" s="155">
        <f t="shared" si="66"/>
        <v>0</v>
      </c>
      <c r="G115" s="155">
        <f t="shared" si="66"/>
        <v>0</v>
      </c>
      <c r="H115" s="155">
        <f t="shared" si="66"/>
        <v>0</v>
      </c>
      <c r="I115" s="155">
        <f t="shared" si="49"/>
        <v>0</v>
      </c>
      <c r="J115" s="155">
        <f t="shared" si="50"/>
        <v>12131</v>
      </c>
      <c r="K115" s="155">
        <f t="shared" si="51"/>
        <v>3032</v>
      </c>
    </row>
    <row r="116" spans="1:11" ht="25.5">
      <c r="A116" s="79" t="s">
        <v>98</v>
      </c>
      <c r="B116" s="27"/>
      <c r="C116" s="121" t="s">
        <v>396</v>
      </c>
      <c r="D116" s="153">
        <v>10189</v>
      </c>
      <c r="E116" s="153">
        <v>2547</v>
      </c>
      <c r="F116" s="153">
        <f>760.28+898</f>
        <v>1658.28</v>
      </c>
      <c r="G116" s="153">
        <v>0</v>
      </c>
      <c r="H116" s="153">
        <v>0</v>
      </c>
      <c r="I116" s="153">
        <f t="shared" si="49"/>
        <v>1658.28</v>
      </c>
      <c r="J116" s="153">
        <f t="shared" si="50"/>
        <v>8530.7199999999993</v>
      </c>
      <c r="K116" s="153">
        <f t="shared" si="51"/>
        <v>888.72</v>
      </c>
    </row>
    <row r="117" spans="1:11" ht="15">
      <c r="A117" s="79" t="s">
        <v>99</v>
      </c>
      <c r="B117" s="27"/>
      <c r="C117" s="121" t="s">
        <v>397</v>
      </c>
      <c r="D117" s="153">
        <v>3796</v>
      </c>
      <c r="E117" s="153">
        <v>949</v>
      </c>
      <c r="F117" s="153">
        <v>390.51</v>
      </c>
      <c r="G117" s="153">
        <v>0</v>
      </c>
      <c r="H117" s="153">
        <v>0</v>
      </c>
      <c r="I117" s="153">
        <f t="shared" si="49"/>
        <v>390.51</v>
      </c>
      <c r="J117" s="153">
        <f t="shared" si="50"/>
        <v>3405.49</v>
      </c>
      <c r="K117" s="153">
        <f t="shared" si="51"/>
        <v>558.49</v>
      </c>
    </row>
    <row r="118" spans="1:11" s="74" customFormat="1" ht="15">
      <c r="A118" s="50" t="s">
        <v>139</v>
      </c>
      <c r="B118" s="73"/>
      <c r="C118" s="123"/>
      <c r="D118" s="155">
        <f t="shared" ref="D118:H118" si="67">SUM(D116:D117)</f>
        <v>13985</v>
      </c>
      <c r="E118" s="155">
        <f>SUM(E116:E117)</f>
        <v>3496</v>
      </c>
      <c r="F118" s="155">
        <f t="shared" ref="F118" si="68">SUM(F116:F117)</f>
        <v>2048.79</v>
      </c>
      <c r="G118" s="155">
        <f t="shared" si="67"/>
        <v>0</v>
      </c>
      <c r="H118" s="155">
        <f t="shared" si="67"/>
        <v>0</v>
      </c>
      <c r="I118" s="156">
        <f t="shared" si="49"/>
        <v>2048.79</v>
      </c>
      <c r="J118" s="156">
        <f t="shared" si="50"/>
        <v>11936.21</v>
      </c>
      <c r="K118" s="156">
        <f t="shared" si="51"/>
        <v>1447.21</v>
      </c>
    </row>
    <row r="119" spans="1:11" s="74" customFormat="1" ht="15">
      <c r="A119" s="86"/>
      <c r="B119" s="87"/>
      <c r="C119" s="127"/>
      <c r="D119" s="157"/>
      <c r="E119" s="157"/>
      <c r="F119" s="155"/>
      <c r="G119" s="155"/>
      <c r="H119" s="155"/>
      <c r="I119" s="153"/>
      <c r="J119" s="153"/>
      <c r="K119" s="153"/>
    </row>
    <row r="120" spans="1:11" s="26" customFormat="1" ht="15">
      <c r="A120" s="88" t="s">
        <v>132</v>
      </c>
      <c r="B120" s="25"/>
      <c r="C120" s="123"/>
      <c r="D120" s="155">
        <f>D121+D123</f>
        <v>6055</v>
      </c>
      <c r="E120" s="155">
        <f>E121+E123</f>
        <v>1514</v>
      </c>
      <c r="F120" s="155">
        <f t="shared" ref="F120" si="69">F121+F123</f>
        <v>0</v>
      </c>
      <c r="G120" s="155">
        <f t="shared" ref="G120:H120" si="70">G121+G123</f>
        <v>0</v>
      </c>
      <c r="H120" s="155">
        <f t="shared" si="70"/>
        <v>0</v>
      </c>
      <c r="I120" s="156">
        <f t="shared" si="49"/>
        <v>0</v>
      </c>
      <c r="J120" s="156">
        <f t="shared" si="50"/>
        <v>6055</v>
      </c>
      <c r="K120" s="156">
        <f t="shared" si="51"/>
        <v>1514</v>
      </c>
    </row>
    <row r="121" spans="1:11" ht="15">
      <c r="A121" s="70" t="s">
        <v>15</v>
      </c>
      <c r="B121" s="27"/>
      <c r="C121" s="121" t="s">
        <v>400</v>
      </c>
      <c r="D121" s="153">
        <v>1600</v>
      </c>
      <c r="E121" s="153">
        <v>400</v>
      </c>
      <c r="F121" s="153">
        <v>0</v>
      </c>
      <c r="G121" s="153">
        <v>0</v>
      </c>
      <c r="H121" s="153">
        <v>0</v>
      </c>
      <c r="I121" s="153">
        <f t="shared" si="49"/>
        <v>0</v>
      </c>
      <c r="J121" s="153">
        <f t="shared" si="50"/>
        <v>1600</v>
      </c>
      <c r="K121" s="153">
        <f t="shared" si="51"/>
        <v>400</v>
      </c>
    </row>
    <row r="122" spans="1:11" ht="12.75" hidden="1" customHeight="1">
      <c r="A122" s="70" t="s">
        <v>16</v>
      </c>
      <c r="B122" s="27"/>
      <c r="C122" s="121" t="s">
        <v>118</v>
      </c>
      <c r="D122" s="153"/>
      <c r="E122" s="153"/>
      <c r="F122" s="153">
        <v>0</v>
      </c>
      <c r="G122" s="153">
        <v>0</v>
      </c>
      <c r="H122" s="153">
        <v>0</v>
      </c>
      <c r="I122" s="153">
        <f t="shared" si="49"/>
        <v>0</v>
      </c>
      <c r="J122" s="153">
        <f t="shared" si="50"/>
        <v>0</v>
      </c>
      <c r="K122" s="153">
        <f t="shared" si="51"/>
        <v>0</v>
      </c>
    </row>
    <row r="123" spans="1:11" ht="15">
      <c r="A123" s="70" t="s">
        <v>16</v>
      </c>
      <c r="B123" s="27"/>
      <c r="C123" s="121" t="s">
        <v>401</v>
      </c>
      <c r="D123" s="153">
        <v>4455</v>
      </c>
      <c r="E123" s="153">
        <v>1114</v>
      </c>
      <c r="F123" s="153">
        <v>0</v>
      </c>
      <c r="G123" s="153">
        <v>0</v>
      </c>
      <c r="H123" s="153">
        <v>0</v>
      </c>
      <c r="I123" s="153">
        <f t="shared" si="49"/>
        <v>0</v>
      </c>
      <c r="J123" s="153">
        <f t="shared" si="50"/>
        <v>4455</v>
      </c>
      <c r="K123" s="153">
        <f t="shared" si="51"/>
        <v>1114</v>
      </c>
    </row>
    <row r="124" spans="1:11" ht="12.75" hidden="1" customHeight="1">
      <c r="A124" s="70" t="s">
        <v>18</v>
      </c>
      <c r="B124" s="27"/>
      <c r="C124" s="121" t="s">
        <v>119</v>
      </c>
      <c r="D124" s="153"/>
      <c r="E124" s="153"/>
      <c r="F124" s="153">
        <v>0</v>
      </c>
      <c r="G124" s="153">
        <v>0</v>
      </c>
      <c r="H124" s="153">
        <v>0</v>
      </c>
      <c r="I124" s="153">
        <f t="shared" si="49"/>
        <v>0</v>
      </c>
      <c r="J124" s="153">
        <f t="shared" si="50"/>
        <v>0</v>
      </c>
      <c r="K124" s="153">
        <f t="shared" si="51"/>
        <v>0</v>
      </c>
    </row>
    <row r="125" spans="1:11" ht="15">
      <c r="A125" s="89" t="s">
        <v>18</v>
      </c>
      <c r="B125" s="27"/>
      <c r="C125" s="121" t="s">
        <v>402</v>
      </c>
      <c r="D125" s="153">
        <v>7241</v>
      </c>
      <c r="E125" s="153">
        <v>0</v>
      </c>
      <c r="F125" s="153">
        <v>0</v>
      </c>
      <c r="G125" s="153">
        <v>0</v>
      </c>
      <c r="H125" s="153">
        <v>0</v>
      </c>
      <c r="I125" s="153">
        <f t="shared" si="49"/>
        <v>0</v>
      </c>
      <c r="J125" s="153">
        <f t="shared" si="50"/>
        <v>7241</v>
      </c>
      <c r="K125" s="153">
        <f t="shared" si="51"/>
        <v>0</v>
      </c>
    </row>
    <row r="126" spans="1:11" ht="25.5">
      <c r="A126" s="72" t="s">
        <v>26</v>
      </c>
      <c r="B126" s="27"/>
      <c r="C126" s="121" t="s">
        <v>403</v>
      </c>
      <c r="D126" s="153">
        <v>14180</v>
      </c>
      <c r="E126" s="153">
        <v>5356</v>
      </c>
      <c r="F126" s="153">
        <v>0</v>
      </c>
      <c r="G126" s="153">
        <v>0</v>
      </c>
      <c r="H126" s="153">
        <v>0</v>
      </c>
      <c r="I126" s="153">
        <f t="shared" si="49"/>
        <v>0</v>
      </c>
      <c r="J126" s="153">
        <f t="shared" si="50"/>
        <v>14180</v>
      </c>
      <c r="K126" s="153">
        <f t="shared" si="51"/>
        <v>5356</v>
      </c>
    </row>
    <row r="127" spans="1:11" s="60" customFormat="1" ht="15">
      <c r="A127" s="82"/>
      <c r="B127" s="59"/>
      <c r="C127" s="122"/>
      <c r="D127" s="156"/>
      <c r="E127" s="156"/>
      <c r="F127" s="156"/>
      <c r="G127" s="156"/>
      <c r="H127" s="156"/>
      <c r="I127" s="153"/>
      <c r="J127" s="153"/>
      <c r="K127" s="153"/>
    </row>
    <row r="128" spans="1:11" s="60" customFormat="1" ht="21.75">
      <c r="A128" s="145" t="s">
        <v>130</v>
      </c>
      <c r="B128" s="59"/>
      <c r="C128" s="122" t="s">
        <v>151</v>
      </c>
      <c r="D128" s="156">
        <f>D129</f>
        <v>7721</v>
      </c>
      <c r="E128" s="156">
        <f>E129</f>
        <v>0</v>
      </c>
      <c r="F128" s="156">
        <f t="shared" ref="F128:H128" si="71">F129</f>
        <v>0</v>
      </c>
      <c r="G128" s="156">
        <f t="shared" si="71"/>
        <v>0</v>
      </c>
      <c r="H128" s="156">
        <f t="shared" si="71"/>
        <v>0</v>
      </c>
      <c r="I128" s="156">
        <f t="shared" si="49"/>
        <v>0</v>
      </c>
      <c r="J128" s="156">
        <f t="shared" si="50"/>
        <v>7721</v>
      </c>
      <c r="K128" s="156">
        <f t="shared" si="51"/>
        <v>0</v>
      </c>
    </row>
    <row r="129" spans="1:11" s="60" customFormat="1" ht="14.25">
      <c r="A129" s="47" t="s">
        <v>131</v>
      </c>
      <c r="B129" s="59"/>
      <c r="C129" s="122" t="s">
        <v>116</v>
      </c>
      <c r="D129" s="156">
        <f>D133</f>
        <v>7721</v>
      </c>
      <c r="E129" s="156">
        <f t="shared" ref="E129:H129" si="72">E133</f>
        <v>0</v>
      </c>
      <c r="F129" s="156">
        <f t="shared" si="72"/>
        <v>0</v>
      </c>
      <c r="G129" s="156">
        <f t="shared" si="72"/>
        <v>0</v>
      </c>
      <c r="H129" s="156">
        <f t="shared" si="72"/>
        <v>0</v>
      </c>
      <c r="I129" s="156">
        <f t="shared" si="49"/>
        <v>0</v>
      </c>
      <c r="J129" s="156">
        <f t="shared" si="50"/>
        <v>7721</v>
      </c>
      <c r="K129" s="156">
        <f t="shared" si="51"/>
        <v>0</v>
      </c>
    </row>
    <row r="130" spans="1:11" s="60" customFormat="1" ht="12.75" hidden="1" customHeight="1">
      <c r="A130" s="70" t="s">
        <v>18</v>
      </c>
      <c r="B130" s="59"/>
      <c r="C130" s="121" t="s">
        <v>59</v>
      </c>
      <c r="D130" s="153"/>
      <c r="E130" s="153"/>
      <c r="F130" s="153"/>
      <c r="G130" s="153"/>
      <c r="H130" s="153"/>
      <c r="I130" s="153">
        <f t="shared" si="49"/>
        <v>0</v>
      </c>
      <c r="J130" s="153">
        <f t="shared" si="50"/>
        <v>0</v>
      </c>
      <c r="K130" s="153">
        <f t="shared" si="51"/>
        <v>0</v>
      </c>
    </row>
    <row r="131" spans="1:11" s="60" customFormat="1" ht="12.75" hidden="1" customHeight="1">
      <c r="A131" s="70" t="s">
        <v>18</v>
      </c>
      <c r="B131" s="59"/>
      <c r="C131" s="121" t="s">
        <v>60</v>
      </c>
      <c r="D131" s="153"/>
      <c r="E131" s="153"/>
      <c r="F131" s="153"/>
      <c r="G131" s="153"/>
      <c r="H131" s="153"/>
      <c r="I131" s="153">
        <f t="shared" si="49"/>
        <v>0</v>
      </c>
      <c r="J131" s="153">
        <f t="shared" si="50"/>
        <v>0</v>
      </c>
      <c r="K131" s="153">
        <f t="shared" si="51"/>
        <v>0</v>
      </c>
    </row>
    <row r="132" spans="1:11" s="90" customFormat="1" ht="15">
      <c r="A132" s="50"/>
      <c r="B132" s="59"/>
      <c r="C132" s="122"/>
      <c r="D132" s="156"/>
      <c r="E132" s="156"/>
      <c r="F132" s="156"/>
      <c r="G132" s="156"/>
      <c r="H132" s="156"/>
      <c r="I132" s="153"/>
      <c r="J132" s="153"/>
      <c r="K132" s="153"/>
    </row>
    <row r="133" spans="1:11" s="60" customFormat="1" ht="15">
      <c r="A133" s="91" t="s">
        <v>122</v>
      </c>
      <c r="B133" s="59"/>
      <c r="C133" s="121" t="s">
        <v>407</v>
      </c>
      <c r="D133" s="153">
        <f>7241+480</f>
        <v>7721</v>
      </c>
      <c r="E133" s="153">
        <v>0</v>
      </c>
      <c r="F133" s="153">
        <v>0</v>
      </c>
      <c r="G133" s="153">
        <v>0</v>
      </c>
      <c r="H133" s="153">
        <v>0</v>
      </c>
      <c r="I133" s="153">
        <f t="shared" si="49"/>
        <v>0</v>
      </c>
      <c r="J133" s="153">
        <f t="shared" si="50"/>
        <v>7721</v>
      </c>
      <c r="K133" s="153">
        <f t="shared" si="51"/>
        <v>0</v>
      </c>
    </row>
    <row r="134" spans="1:11" s="60" customFormat="1" ht="15">
      <c r="A134" s="76"/>
      <c r="B134" s="59"/>
      <c r="C134" s="121"/>
      <c r="D134" s="156"/>
      <c r="E134" s="156"/>
      <c r="F134" s="156"/>
      <c r="G134" s="156"/>
      <c r="H134" s="156"/>
      <c r="I134" s="153"/>
      <c r="J134" s="153"/>
      <c r="K134" s="153"/>
    </row>
    <row r="135" spans="1:11" s="90" customFormat="1" ht="12.75" hidden="1" customHeight="1">
      <c r="A135" s="92" t="s">
        <v>102</v>
      </c>
      <c r="B135" s="93"/>
      <c r="C135" s="124" t="s">
        <v>103</v>
      </c>
      <c r="D135" s="158"/>
      <c r="E135" s="158"/>
      <c r="F135" s="158"/>
      <c r="G135" s="158"/>
      <c r="H135" s="158"/>
      <c r="I135" s="153">
        <f t="shared" si="49"/>
        <v>0</v>
      </c>
      <c r="J135" s="153">
        <f t="shared" si="50"/>
        <v>0</v>
      </c>
      <c r="K135" s="153">
        <f t="shared" si="51"/>
        <v>0</v>
      </c>
    </row>
    <row r="136" spans="1:11" s="90" customFormat="1" ht="12.75" hidden="1" customHeight="1">
      <c r="A136" s="92" t="s">
        <v>102</v>
      </c>
      <c r="B136" s="93"/>
      <c r="C136" s="124" t="s">
        <v>107</v>
      </c>
      <c r="D136" s="158"/>
      <c r="E136" s="158"/>
      <c r="F136" s="158"/>
      <c r="G136" s="158"/>
      <c r="H136" s="158"/>
      <c r="I136" s="153">
        <f t="shared" si="49"/>
        <v>0</v>
      </c>
      <c r="J136" s="153">
        <f t="shared" si="50"/>
        <v>0</v>
      </c>
      <c r="K136" s="153">
        <f t="shared" si="51"/>
        <v>0</v>
      </c>
    </row>
    <row r="137" spans="1:11" s="90" customFormat="1" ht="12.75" hidden="1" customHeight="1">
      <c r="A137" s="92" t="s">
        <v>102</v>
      </c>
      <c r="B137" s="93"/>
      <c r="C137" s="124" t="s">
        <v>108</v>
      </c>
      <c r="D137" s="158"/>
      <c r="E137" s="158"/>
      <c r="F137" s="158"/>
      <c r="G137" s="158"/>
      <c r="H137" s="158"/>
      <c r="I137" s="153">
        <f t="shared" si="49"/>
        <v>0</v>
      </c>
      <c r="J137" s="153">
        <f t="shared" si="50"/>
        <v>0</v>
      </c>
      <c r="K137" s="153">
        <f t="shared" si="51"/>
        <v>0</v>
      </c>
    </row>
    <row r="138" spans="1:11" s="90" customFormat="1" ht="13.5" hidden="1" customHeight="1">
      <c r="A138" s="92"/>
      <c r="B138" s="93"/>
      <c r="C138" s="124"/>
      <c r="D138" s="159">
        <f>SUM(D136:D137)</f>
        <v>0</v>
      </c>
      <c r="E138" s="159">
        <f>SUM(E136:E137)</f>
        <v>0</v>
      </c>
      <c r="F138" s="159">
        <f t="shared" ref="F138" si="73">SUM(F136:F137)</f>
        <v>0</v>
      </c>
      <c r="G138" s="159">
        <f t="shared" ref="G138:H138" si="74">SUM(G136:G137)</f>
        <v>0</v>
      </c>
      <c r="H138" s="159">
        <f t="shared" si="74"/>
        <v>0</v>
      </c>
      <c r="I138" s="153">
        <f t="shared" si="49"/>
        <v>0</v>
      </c>
      <c r="J138" s="153">
        <f t="shared" si="50"/>
        <v>0</v>
      </c>
      <c r="K138" s="153">
        <f t="shared" si="51"/>
        <v>0</v>
      </c>
    </row>
    <row r="139" spans="1:11" s="90" customFormat="1" ht="12.75" hidden="1" customHeight="1">
      <c r="A139" s="94" t="s">
        <v>109</v>
      </c>
      <c r="B139" s="93"/>
      <c r="C139" s="124"/>
      <c r="D139" s="160">
        <f>SUM(D135:D137)</f>
        <v>0</v>
      </c>
      <c r="E139" s="160">
        <f>SUM(E135:E137)</f>
        <v>0</v>
      </c>
      <c r="F139" s="160">
        <f t="shared" ref="F139" si="75">SUM(F135:F137)</f>
        <v>0</v>
      </c>
      <c r="G139" s="160">
        <f t="shared" ref="G139:H139" si="76">SUM(G135:G137)</f>
        <v>0</v>
      </c>
      <c r="H139" s="160">
        <f t="shared" si="76"/>
        <v>0</v>
      </c>
      <c r="I139" s="153">
        <f t="shared" si="49"/>
        <v>0</v>
      </c>
      <c r="J139" s="153">
        <f t="shared" si="50"/>
        <v>0</v>
      </c>
      <c r="K139" s="153">
        <f t="shared" si="51"/>
        <v>0</v>
      </c>
    </row>
    <row r="140" spans="1:11" s="90" customFormat="1" ht="14.25">
      <c r="A140" s="145" t="s">
        <v>133</v>
      </c>
      <c r="B140" s="93"/>
      <c r="C140" s="122" t="s">
        <v>152</v>
      </c>
      <c r="D140" s="156">
        <f>D141</f>
        <v>421322</v>
      </c>
      <c r="E140" s="156">
        <f t="shared" ref="E140:H140" si="77">E141</f>
        <v>35930</v>
      </c>
      <c r="F140" s="156">
        <f t="shared" si="77"/>
        <v>0</v>
      </c>
      <c r="G140" s="156">
        <f t="shared" si="77"/>
        <v>0</v>
      </c>
      <c r="H140" s="156">
        <f t="shared" si="77"/>
        <v>0</v>
      </c>
      <c r="I140" s="156">
        <f t="shared" si="49"/>
        <v>0</v>
      </c>
      <c r="J140" s="156">
        <f t="shared" si="50"/>
        <v>421322</v>
      </c>
      <c r="K140" s="156">
        <f t="shared" si="51"/>
        <v>35930</v>
      </c>
    </row>
    <row r="141" spans="1:11" s="90" customFormat="1" ht="14.25">
      <c r="A141" s="47" t="s">
        <v>134</v>
      </c>
      <c r="B141" s="93"/>
      <c r="C141" s="122" t="s">
        <v>129</v>
      </c>
      <c r="D141" s="156">
        <f>D145+D146+D147+D148+D143+D144</f>
        <v>421322</v>
      </c>
      <c r="E141" s="156">
        <f t="shared" ref="E141:I141" si="78">E145+E146+E147+E148+E143+E144</f>
        <v>35930</v>
      </c>
      <c r="F141" s="156">
        <f t="shared" si="78"/>
        <v>0</v>
      </c>
      <c r="G141" s="156">
        <f t="shared" si="78"/>
        <v>0</v>
      </c>
      <c r="H141" s="156">
        <f t="shared" si="78"/>
        <v>0</v>
      </c>
      <c r="I141" s="156">
        <f t="shared" si="78"/>
        <v>0</v>
      </c>
      <c r="J141" s="156">
        <f t="shared" si="50"/>
        <v>421322</v>
      </c>
      <c r="K141" s="156">
        <f t="shared" si="51"/>
        <v>35930</v>
      </c>
    </row>
    <row r="142" spans="1:11" s="90" customFormat="1" ht="15">
      <c r="A142" s="50" t="s">
        <v>132</v>
      </c>
      <c r="B142" s="93"/>
      <c r="C142" s="124"/>
      <c r="D142" s="160"/>
      <c r="E142" s="160"/>
      <c r="F142" s="160"/>
      <c r="G142" s="160"/>
      <c r="H142" s="160"/>
      <c r="I142" s="153"/>
      <c r="J142" s="153"/>
      <c r="K142" s="153"/>
    </row>
    <row r="143" spans="1:11" s="60" customFormat="1" ht="17.25" customHeight="1">
      <c r="A143" s="70" t="s">
        <v>15</v>
      </c>
      <c r="B143" s="59"/>
      <c r="C143" s="121" t="s">
        <v>489</v>
      </c>
      <c r="D143" s="153">
        <v>2730</v>
      </c>
      <c r="E143" s="153">
        <v>2730</v>
      </c>
      <c r="F143" s="153">
        <v>0</v>
      </c>
      <c r="G143" s="153">
        <v>0</v>
      </c>
      <c r="H143" s="153">
        <v>0</v>
      </c>
      <c r="I143" s="153">
        <f t="shared" ref="I143" si="79">F143+G143+H143</f>
        <v>0</v>
      </c>
      <c r="J143" s="153">
        <f t="shared" ref="J143" si="80">D143-I143</f>
        <v>2730</v>
      </c>
      <c r="K143" s="153">
        <f t="shared" ref="K143" si="81">E143-I143</f>
        <v>2730</v>
      </c>
    </row>
    <row r="144" spans="1:11" s="60" customFormat="1" ht="17.25" customHeight="1">
      <c r="A144" s="70" t="s">
        <v>16</v>
      </c>
      <c r="B144" s="59"/>
      <c r="C144" s="121" t="s">
        <v>490</v>
      </c>
      <c r="D144" s="153">
        <v>6400</v>
      </c>
      <c r="E144" s="153">
        <v>6400</v>
      </c>
      <c r="F144" s="153">
        <v>0</v>
      </c>
      <c r="G144" s="153">
        <v>0</v>
      </c>
      <c r="H144" s="153">
        <v>0</v>
      </c>
      <c r="I144" s="153">
        <f t="shared" ref="I144" si="82">F144+G144+H144</f>
        <v>0</v>
      </c>
      <c r="J144" s="153">
        <f t="shared" ref="J144" si="83">D144-I144</f>
        <v>6400</v>
      </c>
      <c r="K144" s="153">
        <f t="shared" ref="K144" si="84">E144-I144</f>
        <v>6400</v>
      </c>
    </row>
    <row r="145" spans="1:11" s="60" customFormat="1" ht="17.25" customHeight="1">
      <c r="A145" s="70" t="s">
        <v>15</v>
      </c>
      <c r="B145" s="59"/>
      <c r="C145" s="121" t="s">
        <v>408</v>
      </c>
      <c r="D145" s="153">
        <v>107200</v>
      </c>
      <c r="E145" s="153">
        <v>26800</v>
      </c>
      <c r="F145" s="153">
        <v>0</v>
      </c>
      <c r="G145" s="153">
        <v>0</v>
      </c>
      <c r="H145" s="153">
        <v>0</v>
      </c>
      <c r="I145" s="153">
        <f t="shared" si="49"/>
        <v>0</v>
      </c>
      <c r="J145" s="153">
        <f t="shared" si="50"/>
        <v>107200</v>
      </c>
      <c r="K145" s="153">
        <f t="shared" si="51"/>
        <v>26800</v>
      </c>
    </row>
    <row r="146" spans="1:11" s="60" customFormat="1" ht="17.25" customHeight="1">
      <c r="A146" s="70" t="s">
        <v>16</v>
      </c>
      <c r="B146" s="59"/>
      <c r="C146" s="121" t="s">
        <v>482</v>
      </c>
      <c r="D146" s="153">
        <v>32000</v>
      </c>
      <c r="E146" s="153">
        <v>0</v>
      </c>
      <c r="F146" s="153">
        <v>0</v>
      </c>
      <c r="G146" s="153">
        <v>0</v>
      </c>
      <c r="H146" s="153">
        <v>0</v>
      </c>
      <c r="I146" s="153">
        <f t="shared" si="49"/>
        <v>0</v>
      </c>
      <c r="J146" s="153">
        <f t="shared" si="50"/>
        <v>32000</v>
      </c>
      <c r="K146" s="153">
        <f t="shared" si="51"/>
        <v>0</v>
      </c>
    </row>
    <row r="147" spans="1:11" s="60" customFormat="1" ht="17.25" customHeight="1">
      <c r="A147" s="70" t="s">
        <v>15</v>
      </c>
      <c r="B147" s="59"/>
      <c r="C147" s="121" t="s">
        <v>484</v>
      </c>
      <c r="D147" s="153">
        <v>173992</v>
      </c>
      <c r="E147" s="153">
        <v>0</v>
      </c>
      <c r="F147" s="153">
        <v>0</v>
      </c>
      <c r="G147" s="153">
        <v>0</v>
      </c>
      <c r="H147" s="153">
        <v>0</v>
      </c>
      <c r="I147" s="153">
        <f t="shared" ref="I147" si="85">F147+G147+H147</f>
        <v>0</v>
      </c>
      <c r="J147" s="153">
        <f t="shared" ref="J147" si="86">D147-I147</f>
        <v>173992</v>
      </c>
      <c r="K147" s="153">
        <f t="shared" ref="K147" si="87">E147-I147</f>
        <v>0</v>
      </c>
    </row>
    <row r="148" spans="1:11" s="60" customFormat="1" ht="17.25" customHeight="1">
      <c r="A148" s="70" t="s">
        <v>16</v>
      </c>
      <c r="B148" s="59"/>
      <c r="C148" s="121" t="s">
        <v>483</v>
      </c>
      <c r="D148" s="153">
        <v>99000</v>
      </c>
      <c r="E148" s="153">
        <v>0</v>
      </c>
      <c r="F148" s="153">
        <v>0</v>
      </c>
      <c r="G148" s="153">
        <v>0</v>
      </c>
      <c r="H148" s="153">
        <v>0</v>
      </c>
      <c r="I148" s="153">
        <f t="shared" si="49"/>
        <v>0</v>
      </c>
      <c r="J148" s="153">
        <f t="shared" si="50"/>
        <v>99000</v>
      </c>
      <c r="K148" s="153">
        <f t="shared" si="51"/>
        <v>0</v>
      </c>
    </row>
    <row r="149" spans="1:11" s="60" customFormat="1" ht="17.25" customHeight="1">
      <c r="A149" s="146" t="s">
        <v>135</v>
      </c>
      <c r="B149" s="59"/>
      <c r="C149" s="122" t="s">
        <v>141</v>
      </c>
      <c r="D149" s="156">
        <f>D154+D150</f>
        <v>501492.3</v>
      </c>
      <c r="E149" s="156">
        <f>E154+E150</f>
        <v>168138.3</v>
      </c>
      <c r="F149" s="156">
        <f>F154+F150</f>
        <v>129891.37</v>
      </c>
      <c r="G149" s="156">
        <f>G154+G150</f>
        <v>0</v>
      </c>
      <c r="H149" s="156">
        <f>H154+H150</f>
        <v>0</v>
      </c>
      <c r="I149" s="156">
        <f t="shared" ref="I149:I211" si="88">F149+G149+H149</f>
        <v>129891.37</v>
      </c>
      <c r="J149" s="156">
        <f t="shared" ref="J149:J211" si="89">D149-I149</f>
        <v>371600.93</v>
      </c>
      <c r="K149" s="156">
        <f t="shared" ref="K149:K211" si="90">E149-I149</f>
        <v>38246.929999999993</v>
      </c>
    </row>
    <row r="150" spans="1:11" s="60" customFormat="1" ht="17.25" customHeight="1">
      <c r="A150" s="76" t="s">
        <v>324</v>
      </c>
      <c r="B150" s="59"/>
      <c r="C150" s="122" t="s">
        <v>325</v>
      </c>
      <c r="D150" s="156">
        <f t="shared" ref="D150:H152" si="91">D151</f>
        <v>9000</v>
      </c>
      <c r="E150" s="156">
        <f t="shared" si="91"/>
        <v>0</v>
      </c>
      <c r="F150" s="156">
        <f t="shared" si="91"/>
        <v>0</v>
      </c>
      <c r="G150" s="156">
        <f t="shared" si="91"/>
        <v>0</v>
      </c>
      <c r="H150" s="156">
        <f t="shared" si="91"/>
        <v>0</v>
      </c>
      <c r="I150" s="156">
        <f t="shared" si="88"/>
        <v>0</v>
      </c>
      <c r="J150" s="156">
        <f t="shared" si="89"/>
        <v>9000</v>
      </c>
      <c r="K150" s="156">
        <f t="shared" si="90"/>
        <v>0</v>
      </c>
    </row>
    <row r="151" spans="1:11" s="60" customFormat="1" ht="17.25" customHeight="1">
      <c r="A151" s="76" t="s">
        <v>326</v>
      </c>
      <c r="B151" s="59"/>
      <c r="C151" s="122" t="s">
        <v>327</v>
      </c>
      <c r="D151" s="156">
        <f t="shared" si="91"/>
        <v>9000</v>
      </c>
      <c r="E151" s="156">
        <f t="shared" si="91"/>
        <v>0</v>
      </c>
      <c r="F151" s="156">
        <f t="shared" si="91"/>
        <v>0</v>
      </c>
      <c r="G151" s="156">
        <f t="shared" si="91"/>
        <v>0</v>
      </c>
      <c r="H151" s="156">
        <f t="shared" si="91"/>
        <v>0</v>
      </c>
      <c r="I151" s="156">
        <f t="shared" si="88"/>
        <v>0</v>
      </c>
      <c r="J151" s="156">
        <f t="shared" si="89"/>
        <v>9000</v>
      </c>
      <c r="K151" s="156">
        <f t="shared" si="90"/>
        <v>0</v>
      </c>
    </row>
    <row r="152" spans="1:11" s="60" customFormat="1" ht="17.25" customHeight="1">
      <c r="A152" s="76" t="s">
        <v>328</v>
      </c>
      <c r="B152" s="59"/>
      <c r="C152" s="122" t="s">
        <v>329</v>
      </c>
      <c r="D152" s="156">
        <f t="shared" si="91"/>
        <v>9000</v>
      </c>
      <c r="E152" s="156">
        <f t="shared" si="91"/>
        <v>0</v>
      </c>
      <c r="F152" s="156">
        <f t="shared" si="91"/>
        <v>0</v>
      </c>
      <c r="G152" s="156">
        <f t="shared" si="91"/>
        <v>0</v>
      </c>
      <c r="H152" s="156">
        <f t="shared" si="91"/>
        <v>0</v>
      </c>
      <c r="I152" s="156">
        <f t="shared" si="88"/>
        <v>0</v>
      </c>
      <c r="J152" s="156">
        <f t="shared" si="89"/>
        <v>9000</v>
      </c>
      <c r="K152" s="156">
        <f t="shared" si="90"/>
        <v>0</v>
      </c>
    </row>
    <row r="153" spans="1:11" s="60" customFormat="1" ht="24.75" customHeight="1">
      <c r="A153" s="91" t="s">
        <v>330</v>
      </c>
      <c r="B153" s="59"/>
      <c r="C153" s="121" t="s">
        <v>336</v>
      </c>
      <c r="D153" s="153">
        <v>9000</v>
      </c>
      <c r="E153" s="153">
        <v>0</v>
      </c>
      <c r="F153" s="153">
        <v>0</v>
      </c>
      <c r="G153" s="153">
        <v>0</v>
      </c>
      <c r="H153" s="153">
        <v>0</v>
      </c>
      <c r="I153" s="153">
        <f t="shared" si="88"/>
        <v>0</v>
      </c>
      <c r="J153" s="153">
        <f t="shared" si="89"/>
        <v>9000</v>
      </c>
      <c r="K153" s="153">
        <f t="shared" si="90"/>
        <v>0</v>
      </c>
    </row>
    <row r="154" spans="1:11" s="60" customFormat="1" ht="17.25" customHeight="1">
      <c r="A154" s="76" t="s">
        <v>136</v>
      </c>
      <c r="B154" s="59"/>
      <c r="C154" s="122" t="s">
        <v>172</v>
      </c>
      <c r="D154" s="156">
        <f>D155</f>
        <v>492492.3</v>
      </c>
      <c r="E154" s="156">
        <f t="shared" ref="E154:H154" si="92">E155</f>
        <v>168138.3</v>
      </c>
      <c r="F154" s="156">
        <f t="shared" si="92"/>
        <v>129891.37</v>
      </c>
      <c r="G154" s="156">
        <f t="shared" si="92"/>
        <v>0</v>
      </c>
      <c r="H154" s="156">
        <f t="shared" si="92"/>
        <v>0</v>
      </c>
      <c r="I154" s="156">
        <f t="shared" si="88"/>
        <v>129891.37</v>
      </c>
      <c r="J154" s="156">
        <f t="shared" si="89"/>
        <v>362600.93</v>
      </c>
      <c r="K154" s="156">
        <f t="shared" si="90"/>
        <v>38246.929999999993</v>
      </c>
    </row>
    <row r="155" spans="1:11" s="60" customFormat="1" ht="17.25" customHeight="1">
      <c r="A155" s="76" t="s">
        <v>136</v>
      </c>
      <c r="B155" s="59"/>
      <c r="C155" s="122" t="s">
        <v>413</v>
      </c>
      <c r="D155" s="156">
        <f>D156+D160</f>
        <v>492492.3</v>
      </c>
      <c r="E155" s="156">
        <f>E156+E160</f>
        <v>168138.3</v>
      </c>
      <c r="F155" s="156">
        <f t="shared" ref="F155:I155" si="93">F156+F160</f>
        <v>129891.37</v>
      </c>
      <c r="G155" s="156">
        <f t="shared" si="93"/>
        <v>0</v>
      </c>
      <c r="H155" s="156">
        <f t="shared" si="93"/>
        <v>0</v>
      </c>
      <c r="I155" s="156">
        <f t="shared" si="93"/>
        <v>129891.37</v>
      </c>
      <c r="J155" s="156">
        <f t="shared" si="89"/>
        <v>362600.93</v>
      </c>
      <c r="K155" s="156">
        <f t="shared" si="90"/>
        <v>38246.929999999993</v>
      </c>
    </row>
    <row r="156" spans="1:11" s="90" customFormat="1" ht="14.25">
      <c r="A156" s="91" t="s">
        <v>132</v>
      </c>
      <c r="B156" s="93"/>
      <c r="C156" s="121" t="s">
        <v>412</v>
      </c>
      <c r="D156" s="156">
        <f>D157+D158+D159</f>
        <v>491219.3</v>
      </c>
      <c r="E156" s="156">
        <f>E157+E158+E159</f>
        <v>166865.29999999999</v>
      </c>
      <c r="F156" s="156">
        <f t="shared" ref="F156:H156" si="94">F157+F158+F159</f>
        <v>128618.37</v>
      </c>
      <c r="G156" s="156">
        <f t="shared" si="94"/>
        <v>0</v>
      </c>
      <c r="H156" s="156">
        <f t="shared" si="94"/>
        <v>0</v>
      </c>
      <c r="I156" s="156">
        <f t="shared" si="88"/>
        <v>128618.37</v>
      </c>
      <c r="J156" s="156">
        <f t="shared" si="89"/>
        <v>362600.93</v>
      </c>
      <c r="K156" s="156">
        <f t="shared" si="90"/>
        <v>38246.929999999993</v>
      </c>
    </row>
    <row r="157" spans="1:11" ht="15">
      <c r="A157" s="70" t="s">
        <v>14</v>
      </c>
      <c r="B157" s="27"/>
      <c r="C157" s="121" t="s">
        <v>409</v>
      </c>
      <c r="D157" s="153">
        <f>77288.3+358310</f>
        <v>435598.3</v>
      </c>
      <c r="E157" s="153">
        <f>77288.3+89577</f>
        <v>166865.29999999999</v>
      </c>
      <c r="F157" s="153">
        <v>128618.37</v>
      </c>
      <c r="G157" s="153">
        <v>0</v>
      </c>
      <c r="H157" s="153">
        <v>0</v>
      </c>
      <c r="I157" s="153">
        <f t="shared" si="88"/>
        <v>128618.37</v>
      </c>
      <c r="J157" s="153">
        <f t="shared" si="89"/>
        <v>306979.93</v>
      </c>
      <c r="K157" s="153">
        <f t="shared" si="90"/>
        <v>38246.929999999993</v>
      </c>
    </row>
    <row r="158" spans="1:11" ht="15">
      <c r="A158" s="70" t="s">
        <v>16</v>
      </c>
      <c r="B158" s="27"/>
      <c r="C158" s="121" t="s">
        <v>411</v>
      </c>
      <c r="D158" s="153">
        <v>5000</v>
      </c>
      <c r="E158" s="153">
        <f>500-500</f>
        <v>0</v>
      </c>
      <c r="F158" s="153">
        <v>0</v>
      </c>
      <c r="G158" s="153">
        <v>0</v>
      </c>
      <c r="H158" s="153">
        <v>0</v>
      </c>
      <c r="I158" s="153">
        <f t="shared" si="88"/>
        <v>0</v>
      </c>
      <c r="J158" s="153">
        <f t="shared" si="89"/>
        <v>5000</v>
      </c>
      <c r="K158" s="153">
        <f t="shared" si="90"/>
        <v>0</v>
      </c>
    </row>
    <row r="159" spans="1:11" ht="15">
      <c r="A159" s="70" t="s">
        <v>16</v>
      </c>
      <c r="B159" s="27"/>
      <c r="C159" s="121" t="s">
        <v>410</v>
      </c>
      <c r="D159" s="153">
        <v>50621</v>
      </c>
      <c r="E159" s="153">
        <f>500-500</f>
        <v>0</v>
      </c>
      <c r="F159" s="153">
        <v>0</v>
      </c>
      <c r="G159" s="153">
        <v>0</v>
      </c>
      <c r="H159" s="153">
        <v>0</v>
      </c>
      <c r="I159" s="153">
        <f t="shared" si="88"/>
        <v>0</v>
      </c>
      <c r="J159" s="153">
        <f t="shared" si="89"/>
        <v>50621</v>
      </c>
      <c r="K159" s="153">
        <f t="shared" si="90"/>
        <v>0</v>
      </c>
    </row>
    <row r="160" spans="1:11" ht="38.25">
      <c r="A160" s="70" t="s">
        <v>159</v>
      </c>
      <c r="B160" s="27"/>
      <c r="C160" s="121" t="s">
        <v>488</v>
      </c>
      <c r="D160" s="153">
        <v>1273</v>
      </c>
      <c r="E160" s="153">
        <v>1273</v>
      </c>
      <c r="F160" s="153">
        <v>1273</v>
      </c>
      <c r="G160" s="153">
        <v>0</v>
      </c>
      <c r="H160" s="153">
        <v>0</v>
      </c>
      <c r="I160" s="153">
        <f t="shared" ref="I160" si="95">F160+G160+H160</f>
        <v>1273</v>
      </c>
      <c r="J160" s="153">
        <f t="shared" ref="J160" si="96">D160-I160</f>
        <v>0</v>
      </c>
      <c r="K160" s="153">
        <f t="shared" ref="K160" si="97">E160-I160</f>
        <v>0</v>
      </c>
    </row>
    <row r="161" spans="1:11" ht="15">
      <c r="A161" s="70"/>
      <c r="B161" s="27"/>
      <c r="C161" s="121"/>
      <c r="D161" s="153"/>
      <c r="E161" s="153"/>
      <c r="F161" s="153"/>
      <c r="G161" s="153"/>
      <c r="H161" s="153"/>
      <c r="I161" s="153"/>
      <c r="J161" s="153"/>
      <c r="K161" s="153"/>
    </row>
    <row r="162" spans="1:11" s="60" customFormat="1" ht="25.5">
      <c r="A162" s="76" t="s">
        <v>476</v>
      </c>
      <c r="B162" s="59"/>
      <c r="C162" s="122" t="s">
        <v>469</v>
      </c>
      <c r="D162" s="156">
        <f>D163+D224</f>
        <v>3715700</v>
      </c>
      <c r="E162" s="156">
        <f>E163+E224</f>
        <v>1020306</v>
      </c>
      <c r="F162" s="156">
        <f>F163+F224</f>
        <v>809914.69000000018</v>
      </c>
      <c r="G162" s="156">
        <f>G163+G224</f>
        <v>0</v>
      </c>
      <c r="H162" s="156">
        <f>H163+H224</f>
        <v>0</v>
      </c>
      <c r="I162" s="156">
        <f t="shared" si="88"/>
        <v>809914.69000000018</v>
      </c>
      <c r="J162" s="156">
        <f t="shared" si="89"/>
        <v>2905785.3099999996</v>
      </c>
      <c r="K162" s="156">
        <f t="shared" si="90"/>
        <v>210391.30999999982</v>
      </c>
    </row>
    <row r="163" spans="1:11" s="60" customFormat="1" ht="14.25">
      <c r="A163" s="78" t="s">
        <v>144</v>
      </c>
      <c r="B163" s="59"/>
      <c r="C163" s="122" t="s">
        <v>145</v>
      </c>
      <c r="D163" s="156">
        <f>D164+D196</f>
        <v>2635552</v>
      </c>
      <c r="E163" s="156">
        <f>E164+E196</f>
        <v>714463</v>
      </c>
      <c r="F163" s="156">
        <f>F164+F196</f>
        <v>553823.64000000013</v>
      </c>
      <c r="G163" s="156">
        <v>0</v>
      </c>
      <c r="H163" s="156">
        <v>0</v>
      </c>
      <c r="I163" s="156">
        <f t="shared" si="88"/>
        <v>553823.64000000013</v>
      </c>
      <c r="J163" s="156">
        <f t="shared" si="89"/>
        <v>2081728.3599999999</v>
      </c>
      <c r="K163" s="156">
        <f t="shared" si="90"/>
        <v>160639.35999999987</v>
      </c>
    </row>
    <row r="164" spans="1:11" s="60" customFormat="1" ht="81.75" customHeight="1">
      <c r="A164" s="144" t="s">
        <v>473</v>
      </c>
      <c r="B164" s="59"/>
      <c r="C164" s="122"/>
      <c r="D164" s="156">
        <f>D165+D175+D184+D186+D188+D185</f>
        <v>2133897</v>
      </c>
      <c r="E164" s="156">
        <f>E165+E175+E184+E186+E188+E185</f>
        <v>589051</v>
      </c>
      <c r="F164" s="156">
        <f>F165+F175+F184+F186+F188+F185</f>
        <v>462138.26000000007</v>
      </c>
      <c r="G164" s="156">
        <f>G165+G175+G184+G186+G188+G185</f>
        <v>0</v>
      </c>
      <c r="H164" s="156">
        <f>H165+H175+H184+H186+H188+H185</f>
        <v>0</v>
      </c>
      <c r="I164" s="156">
        <f>F164+G164+H164</f>
        <v>462138.26000000007</v>
      </c>
      <c r="J164" s="156">
        <f t="shared" si="89"/>
        <v>1671758.74</v>
      </c>
      <c r="K164" s="156">
        <f t="shared" si="90"/>
        <v>126912.73999999993</v>
      </c>
    </row>
    <row r="165" spans="1:11" s="26" customFormat="1" ht="26.25">
      <c r="A165" s="50" t="s">
        <v>138</v>
      </c>
      <c r="B165" s="25"/>
      <c r="C165" s="123"/>
      <c r="D165" s="155">
        <f>D166+D171+D174</f>
        <v>1012052</v>
      </c>
      <c r="E165" s="155">
        <f>E166+E171+E174</f>
        <v>253012</v>
      </c>
      <c r="F165" s="155">
        <f t="shared" ref="F165" si="98">F166+F171+F174</f>
        <v>229250.87</v>
      </c>
      <c r="G165" s="155">
        <f t="shared" ref="G165:H165" si="99">G166+G171+G174</f>
        <v>0</v>
      </c>
      <c r="H165" s="155">
        <f t="shared" si="99"/>
        <v>0</v>
      </c>
      <c r="I165" s="156">
        <f t="shared" si="88"/>
        <v>229250.87</v>
      </c>
      <c r="J165" s="156">
        <f t="shared" si="89"/>
        <v>782801.13</v>
      </c>
      <c r="K165" s="156">
        <f t="shared" si="90"/>
        <v>23761.130000000005</v>
      </c>
    </row>
    <row r="166" spans="1:11" ht="15">
      <c r="A166" s="70" t="s">
        <v>425</v>
      </c>
      <c r="B166" s="73"/>
      <c r="C166" s="121" t="s">
        <v>426</v>
      </c>
      <c r="D166" s="153">
        <v>773466</v>
      </c>
      <c r="E166" s="153">
        <v>193366</v>
      </c>
      <c r="F166" s="153">
        <v>176444.96</v>
      </c>
      <c r="G166" s="153">
        <v>0</v>
      </c>
      <c r="H166" s="153">
        <v>0</v>
      </c>
      <c r="I166" s="153">
        <f t="shared" si="88"/>
        <v>176444.96</v>
      </c>
      <c r="J166" s="153">
        <f t="shared" si="89"/>
        <v>597021.04</v>
      </c>
      <c r="K166" s="153">
        <f t="shared" si="90"/>
        <v>16921.040000000008</v>
      </c>
    </row>
    <row r="167" spans="1:11" ht="38.25" hidden="1" customHeight="1">
      <c r="A167" s="70" t="s">
        <v>22</v>
      </c>
      <c r="B167" s="27"/>
      <c r="C167" s="121" t="s">
        <v>97</v>
      </c>
      <c r="D167" s="153"/>
      <c r="E167" s="153"/>
      <c r="F167" s="153">
        <v>0</v>
      </c>
      <c r="G167" s="153">
        <v>0</v>
      </c>
      <c r="H167" s="153">
        <v>0</v>
      </c>
      <c r="I167" s="153">
        <f t="shared" si="88"/>
        <v>0</v>
      </c>
      <c r="J167" s="153">
        <f t="shared" si="89"/>
        <v>0</v>
      </c>
      <c r="K167" s="153">
        <f t="shared" si="90"/>
        <v>0</v>
      </c>
    </row>
    <row r="168" spans="1:11" ht="38.25" hidden="1">
      <c r="A168" s="70" t="s">
        <v>22</v>
      </c>
      <c r="B168" s="27"/>
      <c r="C168" s="121" t="s">
        <v>427</v>
      </c>
      <c r="D168" s="153">
        <f>2000-2000</f>
        <v>0</v>
      </c>
      <c r="E168" s="153">
        <f>2000-2000</f>
        <v>0</v>
      </c>
      <c r="F168" s="153">
        <v>0</v>
      </c>
      <c r="G168" s="153">
        <v>0</v>
      </c>
      <c r="H168" s="153">
        <v>0</v>
      </c>
      <c r="I168" s="153">
        <f t="shared" si="88"/>
        <v>0</v>
      </c>
      <c r="J168" s="153">
        <f t="shared" si="89"/>
        <v>0</v>
      </c>
      <c r="K168" s="153">
        <f t="shared" si="90"/>
        <v>0</v>
      </c>
    </row>
    <row r="169" spans="1:11" ht="38.25">
      <c r="A169" s="70" t="s">
        <v>23</v>
      </c>
      <c r="B169" s="27"/>
      <c r="C169" s="121" t="s">
        <v>428</v>
      </c>
      <c r="D169" s="153">
        <v>5000</v>
      </c>
      <c r="E169" s="153">
        <v>1250</v>
      </c>
      <c r="F169" s="153">
        <v>0</v>
      </c>
      <c r="G169" s="153">
        <v>0</v>
      </c>
      <c r="H169" s="153">
        <v>0</v>
      </c>
      <c r="I169" s="153">
        <f t="shared" si="88"/>
        <v>0</v>
      </c>
      <c r="J169" s="153">
        <f t="shared" si="89"/>
        <v>5000</v>
      </c>
      <c r="K169" s="153">
        <f t="shared" si="90"/>
        <v>1250</v>
      </c>
    </row>
    <row r="170" spans="1:11" ht="12.75" hidden="1" customHeight="1">
      <c r="A170" s="70" t="s">
        <v>115</v>
      </c>
      <c r="B170" s="27"/>
      <c r="C170" s="121" t="s">
        <v>120</v>
      </c>
      <c r="D170" s="153">
        <v>0</v>
      </c>
      <c r="E170" s="153">
        <v>0</v>
      </c>
      <c r="F170" s="153">
        <v>0</v>
      </c>
      <c r="G170" s="153"/>
      <c r="H170" s="153"/>
      <c r="I170" s="153">
        <f t="shared" si="88"/>
        <v>0</v>
      </c>
      <c r="J170" s="153">
        <f t="shared" si="89"/>
        <v>0</v>
      </c>
      <c r="K170" s="153">
        <f t="shared" si="90"/>
        <v>0</v>
      </c>
    </row>
    <row r="171" spans="1:11" s="74" customFormat="1" ht="15">
      <c r="A171" s="75" t="s">
        <v>140</v>
      </c>
      <c r="B171" s="73"/>
      <c r="C171" s="123"/>
      <c r="D171" s="155">
        <f>SUM(D167:D170)</f>
        <v>5000</v>
      </c>
      <c r="E171" s="155">
        <f>SUM(E167:E170)</f>
        <v>1250</v>
      </c>
      <c r="F171" s="155">
        <f t="shared" ref="F171" si="100">SUM(F167:F170)</f>
        <v>0</v>
      </c>
      <c r="G171" s="155">
        <f t="shared" ref="G171:H171" si="101">SUM(G167:G170)</f>
        <v>0</v>
      </c>
      <c r="H171" s="155">
        <f t="shared" si="101"/>
        <v>0</v>
      </c>
      <c r="I171" s="156">
        <f t="shared" si="88"/>
        <v>0</v>
      </c>
      <c r="J171" s="156">
        <f t="shared" si="89"/>
        <v>5000</v>
      </c>
      <c r="K171" s="156">
        <f t="shared" si="90"/>
        <v>1250</v>
      </c>
    </row>
    <row r="172" spans="1:11" ht="25.5">
      <c r="A172" s="79" t="s">
        <v>98</v>
      </c>
      <c r="B172" s="27"/>
      <c r="C172" s="121" t="s">
        <v>429</v>
      </c>
      <c r="D172" s="153">
        <v>170162</v>
      </c>
      <c r="E172" s="153">
        <v>42540</v>
      </c>
      <c r="F172" s="153">
        <v>38467.879999999997</v>
      </c>
      <c r="G172" s="153">
        <v>0</v>
      </c>
      <c r="H172" s="153">
        <v>0</v>
      </c>
      <c r="I172" s="153">
        <f t="shared" si="88"/>
        <v>38467.879999999997</v>
      </c>
      <c r="J172" s="153">
        <f t="shared" si="89"/>
        <v>131694.12</v>
      </c>
      <c r="K172" s="153">
        <f t="shared" si="90"/>
        <v>4072.1200000000026</v>
      </c>
    </row>
    <row r="173" spans="1:11" ht="15">
      <c r="A173" s="79" t="s">
        <v>99</v>
      </c>
      <c r="B173" s="27"/>
      <c r="C173" s="121" t="s">
        <v>430</v>
      </c>
      <c r="D173" s="153">
        <v>63424</v>
      </c>
      <c r="E173" s="153">
        <v>15856</v>
      </c>
      <c r="F173" s="153">
        <v>14338.03</v>
      </c>
      <c r="G173" s="153">
        <v>0</v>
      </c>
      <c r="H173" s="153">
        <v>0</v>
      </c>
      <c r="I173" s="153">
        <f t="shared" si="88"/>
        <v>14338.03</v>
      </c>
      <c r="J173" s="153">
        <f t="shared" si="89"/>
        <v>49085.97</v>
      </c>
      <c r="K173" s="153">
        <f t="shared" si="90"/>
        <v>1517.9699999999993</v>
      </c>
    </row>
    <row r="174" spans="1:11" s="74" customFormat="1" ht="15">
      <c r="A174" s="50" t="s">
        <v>139</v>
      </c>
      <c r="B174" s="73"/>
      <c r="C174" s="123"/>
      <c r="D174" s="155">
        <f t="shared" ref="D174:H174" si="102">SUM(D172:D173)</f>
        <v>233586</v>
      </c>
      <c r="E174" s="155">
        <f>SUM(E172:E173)</f>
        <v>58396</v>
      </c>
      <c r="F174" s="155">
        <f t="shared" ref="F174" si="103">SUM(F172:F173)</f>
        <v>52805.909999999996</v>
      </c>
      <c r="G174" s="155">
        <f t="shared" si="102"/>
        <v>0</v>
      </c>
      <c r="H174" s="155">
        <f t="shared" si="102"/>
        <v>0</v>
      </c>
      <c r="I174" s="155">
        <f t="shared" si="88"/>
        <v>52805.909999999996</v>
      </c>
      <c r="J174" s="155">
        <f t="shared" si="89"/>
        <v>180780.09</v>
      </c>
      <c r="K174" s="155">
        <f t="shared" si="90"/>
        <v>5590.0900000000038</v>
      </c>
    </row>
    <row r="175" spans="1:11" s="74" customFormat="1" ht="15">
      <c r="A175" s="50" t="s">
        <v>132</v>
      </c>
      <c r="B175" s="73"/>
      <c r="C175" s="123"/>
      <c r="D175" s="155">
        <f>D176+D177+D181+D182+D183</f>
        <v>935229</v>
      </c>
      <c r="E175" s="155">
        <f>E176+E177+E181+E182+E183</f>
        <v>293297</v>
      </c>
      <c r="F175" s="155">
        <f t="shared" ref="F175" si="104">F176+F177+F181+F182+F183</f>
        <v>199392.56000000003</v>
      </c>
      <c r="G175" s="155">
        <f t="shared" ref="G175:H175" si="105">G176+G177+G181+G182+G183</f>
        <v>0</v>
      </c>
      <c r="H175" s="155">
        <f t="shared" si="105"/>
        <v>0</v>
      </c>
      <c r="I175" s="155">
        <f t="shared" si="88"/>
        <v>199392.56000000003</v>
      </c>
      <c r="J175" s="155">
        <f t="shared" si="89"/>
        <v>735836.44</v>
      </c>
      <c r="K175" s="155">
        <f t="shared" si="90"/>
        <v>93904.439999999973</v>
      </c>
    </row>
    <row r="176" spans="1:11" ht="15">
      <c r="A176" s="70" t="s">
        <v>12</v>
      </c>
      <c r="B176" s="27"/>
      <c r="C176" s="121" t="s">
        <v>431</v>
      </c>
      <c r="D176" s="153">
        <v>7996</v>
      </c>
      <c r="E176" s="153">
        <v>1999</v>
      </c>
      <c r="F176" s="153">
        <v>1911.6</v>
      </c>
      <c r="G176" s="153">
        <v>0</v>
      </c>
      <c r="H176" s="153">
        <v>0</v>
      </c>
      <c r="I176" s="153">
        <f t="shared" si="88"/>
        <v>1911.6</v>
      </c>
      <c r="J176" s="153">
        <f t="shared" si="89"/>
        <v>6084.4</v>
      </c>
      <c r="K176" s="153">
        <f t="shared" si="90"/>
        <v>87.400000000000091</v>
      </c>
    </row>
    <row r="177" spans="1:11" ht="15">
      <c r="A177" s="70" t="s">
        <v>13</v>
      </c>
      <c r="B177" s="27"/>
      <c r="C177" s="121" t="s">
        <v>432</v>
      </c>
      <c r="D177" s="153">
        <v>6913</v>
      </c>
      <c r="E177" s="153">
        <v>478</v>
      </c>
      <c r="F177" s="153">
        <v>0</v>
      </c>
      <c r="G177" s="153">
        <v>0</v>
      </c>
      <c r="H177" s="153">
        <v>0</v>
      </c>
      <c r="I177" s="153">
        <f t="shared" si="88"/>
        <v>0</v>
      </c>
      <c r="J177" s="153">
        <f t="shared" si="89"/>
        <v>6913</v>
      </c>
      <c r="K177" s="153">
        <f t="shared" si="90"/>
        <v>478</v>
      </c>
    </row>
    <row r="178" spans="1:11" ht="25.5">
      <c r="A178" s="70" t="s">
        <v>28</v>
      </c>
      <c r="B178" s="27"/>
      <c r="C178" s="121" t="s">
        <v>433</v>
      </c>
      <c r="D178" s="153">
        <v>803460</v>
      </c>
      <c r="E178" s="153">
        <v>267820</v>
      </c>
      <c r="F178" s="153">
        <v>181637.7</v>
      </c>
      <c r="G178" s="153">
        <v>0</v>
      </c>
      <c r="H178" s="153">
        <v>0</v>
      </c>
      <c r="I178" s="153">
        <f t="shared" si="88"/>
        <v>181637.7</v>
      </c>
      <c r="J178" s="153">
        <f t="shared" si="89"/>
        <v>621822.30000000005</v>
      </c>
      <c r="K178" s="153">
        <f t="shared" si="90"/>
        <v>86182.299999999988</v>
      </c>
    </row>
    <row r="179" spans="1:11" ht="15">
      <c r="A179" s="70" t="s">
        <v>24</v>
      </c>
      <c r="B179" s="27"/>
      <c r="C179" s="121" t="s">
        <v>434</v>
      </c>
      <c r="D179" s="153">
        <v>37900</v>
      </c>
      <c r="E179" s="153">
        <v>9475</v>
      </c>
      <c r="F179" s="153">
        <v>4893.6000000000004</v>
      </c>
      <c r="G179" s="153">
        <v>0</v>
      </c>
      <c r="H179" s="153">
        <v>0</v>
      </c>
      <c r="I179" s="153">
        <f t="shared" si="88"/>
        <v>4893.6000000000004</v>
      </c>
      <c r="J179" s="153">
        <f t="shared" si="89"/>
        <v>33006.400000000001</v>
      </c>
      <c r="K179" s="153">
        <f t="shared" si="90"/>
        <v>4581.3999999999996</v>
      </c>
    </row>
    <row r="180" spans="1:11" ht="15">
      <c r="A180" s="70" t="s">
        <v>25</v>
      </c>
      <c r="B180" s="27"/>
      <c r="C180" s="121" t="s">
        <v>435</v>
      </c>
      <c r="D180" s="153">
        <v>4710</v>
      </c>
      <c r="E180" s="153">
        <v>1177</v>
      </c>
      <c r="F180" s="153">
        <v>599.66</v>
      </c>
      <c r="G180" s="153">
        <v>0</v>
      </c>
      <c r="H180" s="153">
        <v>0</v>
      </c>
      <c r="I180" s="153">
        <f t="shared" si="88"/>
        <v>599.66</v>
      </c>
      <c r="J180" s="153">
        <f t="shared" si="89"/>
        <v>4110.34</v>
      </c>
      <c r="K180" s="153">
        <f t="shared" si="90"/>
        <v>577.34</v>
      </c>
    </row>
    <row r="181" spans="1:11" s="74" customFormat="1" ht="15">
      <c r="A181" s="50" t="s">
        <v>14</v>
      </c>
      <c r="B181" s="73"/>
      <c r="C181" s="123"/>
      <c r="D181" s="155">
        <f t="shared" ref="D181:H181" si="106">SUM(D178:D180)</f>
        <v>846070</v>
      </c>
      <c r="E181" s="155">
        <f>SUM(E178:E180)</f>
        <v>278472</v>
      </c>
      <c r="F181" s="155">
        <f t="shared" ref="F181" si="107">SUM(F178:F180)</f>
        <v>187130.96000000002</v>
      </c>
      <c r="G181" s="155">
        <f t="shared" si="106"/>
        <v>0</v>
      </c>
      <c r="H181" s="155">
        <f t="shared" si="106"/>
        <v>0</v>
      </c>
      <c r="I181" s="156">
        <f t="shared" si="88"/>
        <v>187130.96000000002</v>
      </c>
      <c r="J181" s="156">
        <f t="shared" si="89"/>
        <v>658939.04</v>
      </c>
      <c r="K181" s="156">
        <f t="shared" si="90"/>
        <v>91341.039999999979</v>
      </c>
    </row>
    <row r="182" spans="1:11" ht="15">
      <c r="A182" s="70" t="s">
        <v>15</v>
      </c>
      <c r="B182" s="27"/>
      <c r="C182" s="121" t="s">
        <v>436</v>
      </c>
      <c r="D182" s="153">
        <v>58260</v>
      </c>
      <c r="E182" s="153">
        <v>10350</v>
      </c>
      <c r="F182" s="153">
        <v>10350</v>
      </c>
      <c r="G182" s="153">
        <v>0</v>
      </c>
      <c r="H182" s="153">
        <v>0</v>
      </c>
      <c r="I182" s="153">
        <f t="shared" si="88"/>
        <v>10350</v>
      </c>
      <c r="J182" s="153">
        <f t="shared" si="89"/>
        <v>47910</v>
      </c>
      <c r="K182" s="153">
        <f t="shared" si="90"/>
        <v>0</v>
      </c>
    </row>
    <row r="183" spans="1:11" ht="15">
      <c r="A183" s="70" t="s">
        <v>16</v>
      </c>
      <c r="B183" s="27"/>
      <c r="C183" s="121" t="s">
        <v>437</v>
      </c>
      <c r="D183" s="153">
        <v>15990</v>
      </c>
      <c r="E183" s="153">
        <v>1998</v>
      </c>
      <c r="F183" s="153">
        <v>0</v>
      </c>
      <c r="G183" s="153">
        <v>0</v>
      </c>
      <c r="H183" s="153">
        <v>0</v>
      </c>
      <c r="I183" s="153">
        <f t="shared" si="88"/>
        <v>0</v>
      </c>
      <c r="J183" s="153">
        <f t="shared" si="89"/>
        <v>15990</v>
      </c>
      <c r="K183" s="153">
        <f t="shared" si="90"/>
        <v>1998</v>
      </c>
    </row>
    <row r="184" spans="1:11" ht="15">
      <c r="A184" s="70" t="s">
        <v>17</v>
      </c>
      <c r="B184" s="27"/>
      <c r="C184" s="121" t="s">
        <v>438</v>
      </c>
      <c r="D184" s="153">
        <v>9520</v>
      </c>
      <c r="E184" s="153">
        <v>2380</v>
      </c>
      <c r="F184" s="153">
        <v>0</v>
      </c>
      <c r="G184" s="153">
        <v>0</v>
      </c>
      <c r="H184" s="153">
        <v>0</v>
      </c>
      <c r="I184" s="153">
        <f t="shared" si="88"/>
        <v>0</v>
      </c>
      <c r="J184" s="153">
        <f t="shared" si="89"/>
        <v>9520</v>
      </c>
      <c r="K184" s="153">
        <f t="shared" si="90"/>
        <v>2380</v>
      </c>
    </row>
    <row r="185" spans="1:11" ht="15" hidden="1">
      <c r="A185" s="50" t="s">
        <v>18</v>
      </c>
      <c r="B185" s="27"/>
      <c r="C185" s="121" t="s">
        <v>439</v>
      </c>
      <c r="D185" s="153"/>
      <c r="E185" s="153"/>
      <c r="F185" s="153">
        <v>0</v>
      </c>
      <c r="G185" s="153">
        <v>0</v>
      </c>
      <c r="H185" s="153">
        <v>0</v>
      </c>
      <c r="I185" s="153">
        <f t="shared" si="88"/>
        <v>0</v>
      </c>
      <c r="J185" s="153">
        <f t="shared" si="89"/>
        <v>0</v>
      </c>
      <c r="K185" s="153">
        <f t="shared" si="90"/>
        <v>0</v>
      </c>
    </row>
    <row r="186" spans="1:11" ht="15">
      <c r="A186" s="50" t="s">
        <v>143</v>
      </c>
      <c r="B186" s="27"/>
      <c r="C186" s="121" t="s">
        <v>440</v>
      </c>
      <c r="D186" s="153">
        <v>11157</v>
      </c>
      <c r="E186" s="153">
        <v>0</v>
      </c>
      <c r="F186" s="153">
        <v>0</v>
      </c>
      <c r="G186" s="153">
        <v>0</v>
      </c>
      <c r="H186" s="153">
        <v>0</v>
      </c>
      <c r="I186" s="153">
        <f t="shared" si="88"/>
        <v>0</v>
      </c>
      <c r="J186" s="153">
        <f t="shared" si="89"/>
        <v>11157</v>
      </c>
      <c r="K186" s="153">
        <f t="shared" si="90"/>
        <v>0</v>
      </c>
    </row>
    <row r="187" spans="1:11" ht="15">
      <c r="A187" s="50"/>
      <c r="B187" s="27"/>
      <c r="C187" s="121"/>
      <c r="D187" s="153"/>
      <c r="E187" s="153"/>
      <c r="F187" s="153"/>
      <c r="G187" s="153"/>
      <c r="H187" s="153"/>
      <c r="I187" s="153"/>
      <c r="J187" s="153"/>
      <c r="K187" s="153"/>
    </row>
    <row r="188" spans="1:11" s="26" customFormat="1" ht="15">
      <c r="A188" s="95" t="s">
        <v>166</v>
      </c>
      <c r="B188" s="25"/>
      <c r="C188" s="123"/>
      <c r="D188" s="155">
        <f>D189+D192</f>
        <v>165939</v>
      </c>
      <c r="E188" s="155">
        <f>E189+E192</f>
        <v>40362</v>
      </c>
      <c r="F188" s="155">
        <f t="shared" ref="F188" si="108">F189+F192</f>
        <v>33494.83</v>
      </c>
      <c r="G188" s="155">
        <f t="shared" ref="G188:H188" si="109">G189+G192</f>
        <v>0</v>
      </c>
      <c r="H188" s="155">
        <f t="shared" si="109"/>
        <v>0</v>
      </c>
      <c r="I188" s="156">
        <f t="shared" si="88"/>
        <v>33494.83</v>
      </c>
      <c r="J188" s="156">
        <f t="shared" si="89"/>
        <v>132444.16999999998</v>
      </c>
      <c r="K188" s="156">
        <f t="shared" si="90"/>
        <v>6867.1699999999983</v>
      </c>
    </row>
    <row r="189" spans="1:11" ht="15">
      <c r="A189" s="70" t="s">
        <v>425</v>
      </c>
      <c r="B189" s="73"/>
      <c r="C189" s="121" t="s">
        <v>441</v>
      </c>
      <c r="D189" s="153">
        <v>127449</v>
      </c>
      <c r="E189" s="153">
        <v>31000</v>
      </c>
      <c r="F189" s="153">
        <v>25725.68</v>
      </c>
      <c r="G189" s="153">
        <v>0</v>
      </c>
      <c r="H189" s="153">
        <v>0</v>
      </c>
      <c r="I189" s="153">
        <f t="shared" si="88"/>
        <v>25725.68</v>
      </c>
      <c r="J189" s="153">
        <f t="shared" si="89"/>
        <v>101723.32</v>
      </c>
      <c r="K189" s="153">
        <f t="shared" si="90"/>
        <v>5274.32</v>
      </c>
    </row>
    <row r="190" spans="1:11" ht="18" customHeight="1">
      <c r="A190" s="79" t="s">
        <v>98</v>
      </c>
      <c r="B190" s="27"/>
      <c r="C190" s="121" t="s">
        <v>442</v>
      </c>
      <c r="D190" s="153">
        <v>28039</v>
      </c>
      <c r="E190" s="153">
        <v>6820</v>
      </c>
      <c r="F190" s="153">
        <v>5659.65</v>
      </c>
      <c r="G190" s="153">
        <v>0</v>
      </c>
      <c r="H190" s="153">
        <v>0</v>
      </c>
      <c r="I190" s="153">
        <f t="shared" si="88"/>
        <v>5659.65</v>
      </c>
      <c r="J190" s="153">
        <f t="shared" si="89"/>
        <v>22379.35</v>
      </c>
      <c r="K190" s="153">
        <f t="shared" si="90"/>
        <v>1160.3500000000004</v>
      </c>
    </row>
    <row r="191" spans="1:11" ht="18.75" customHeight="1">
      <c r="A191" s="79" t="s">
        <v>99</v>
      </c>
      <c r="B191" s="27"/>
      <c r="C191" s="121" t="s">
        <v>443</v>
      </c>
      <c r="D191" s="153">
        <v>10451</v>
      </c>
      <c r="E191" s="153">
        <v>2542</v>
      </c>
      <c r="F191" s="153">
        <v>2109.5</v>
      </c>
      <c r="G191" s="153">
        <v>0</v>
      </c>
      <c r="H191" s="153">
        <v>0</v>
      </c>
      <c r="I191" s="153">
        <f t="shared" si="88"/>
        <v>2109.5</v>
      </c>
      <c r="J191" s="153">
        <f t="shared" si="89"/>
        <v>8341.5</v>
      </c>
      <c r="K191" s="153">
        <f t="shared" si="90"/>
        <v>432.5</v>
      </c>
    </row>
    <row r="192" spans="1:11" s="26" customFormat="1" ht="15.75" customHeight="1">
      <c r="A192" s="50" t="s">
        <v>139</v>
      </c>
      <c r="B192" s="73"/>
      <c r="C192" s="123"/>
      <c r="D192" s="155">
        <f>SUM(D190:D191)</f>
        <v>38490</v>
      </c>
      <c r="E192" s="155">
        <f>SUM(E190:E191)</f>
        <v>9362</v>
      </c>
      <c r="F192" s="155">
        <f t="shared" ref="F192" si="110">SUM(F190:F191)</f>
        <v>7769.15</v>
      </c>
      <c r="G192" s="155">
        <f t="shared" ref="G192:H192" si="111">SUM(G190:G191)</f>
        <v>0</v>
      </c>
      <c r="H192" s="155">
        <f t="shared" si="111"/>
        <v>0</v>
      </c>
      <c r="I192" s="156">
        <f t="shared" si="88"/>
        <v>7769.15</v>
      </c>
      <c r="J192" s="156">
        <f t="shared" si="89"/>
        <v>30720.85</v>
      </c>
      <c r="K192" s="156">
        <f t="shared" si="90"/>
        <v>1592.8500000000004</v>
      </c>
    </row>
    <row r="193" spans="1:11" ht="12.75" hidden="1" customHeight="1">
      <c r="A193" s="79" t="s">
        <v>99</v>
      </c>
      <c r="B193" s="27"/>
      <c r="C193" s="121" t="s">
        <v>165</v>
      </c>
      <c r="D193" s="153">
        <v>1272</v>
      </c>
      <c r="E193" s="153">
        <v>1272</v>
      </c>
      <c r="F193" s="153"/>
      <c r="G193" s="153"/>
      <c r="H193" s="153"/>
      <c r="I193" s="153">
        <f t="shared" si="88"/>
        <v>0</v>
      </c>
      <c r="J193" s="153">
        <f t="shared" si="89"/>
        <v>1272</v>
      </c>
      <c r="K193" s="153">
        <f t="shared" si="90"/>
        <v>1272</v>
      </c>
    </row>
    <row r="194" spans="1:11" s="74" customFormat="1" ht="13.5" hidden="1" customHeight="1">
      <c r="A194" s="50" t="s">
        <v>139</v>
      </c>
      <c r="B194" s="73"/>
      <c r="C194" s="123"/>
      <c r="D194" s="155">
        <f t="shared" ref="D194:H194" si="112">SUM(D192:D193)</f>
        <v>39762</v>
      </c>
      <c r="E194" s="155">
        <f>SUM(E192:E193)</f>
        <v>10634</v>
      </c>
      <c r="F194" s="155">
        <f t="shared" ref="F194" si="113">SUM(F192:F193)</f>
        <v>7769.15</v>
      </c>
      <c r="G194" s="155">
        <f t="shared" si="112"/>
        <v>0</v>
      </c>
      <c r="H194" s="155">
        <f t="shared" si="112"/>
        <v>0</v>
      </c>
      <c r="I194" s="153">
        <f t="shared" si="88"/>
        <v>7769.15</v>
      </c>
      <c r="J194" s="153">
        <f t="shared" si="89"/>
        <v>31992.85</v>
      </c>
      <c r="K194" s="153">
        <f t="shared" si="90"/>
        <v>2864.8500000000004</v>
      </c>
    </row>
    <row r="195" spans="1:11" s="60" customFormat="1" ht="15">
      <c r="A195" s="82"/>
      <c r="B195" s="59"/>
      <c r="C195" s="122"/>
      <c r="D195" s="156"/>
      <c r="E195" s="156"/>
      <c r="F195" s="156"/>
      <c r="G195" s="156"/>
      <c r="H195" s="156"/>
      <c r="I195" s="153"/>
      <c r="J195" s="153"/>
      <c r="K195" s="153"/>
    </row>
    <row r="196" spans="1:11" s="60" customFormat="1" ht="89.25" customHeight="1">
      <c r="A196" s="144" t="s">
        <v>474</v>
      </c>
      <c r="B196" s="59"/>
      <c r="C196" s="122"/>
      <c r="D196" s="156">
        <f t="shared" ref="D196:H196" si="114">D197+D204+D210+D211+D212+D214+D218</f>
        <v>501655</v>
      </c>
      <c r="E196" s="156">
        <f t="shared" si="114"/>
        <v>125412</v>
      </c>
      <c r="F196" s="156">
        <f t="shared" si="114"/>
        <v>91685.38</v>
      </c>
      <c r="G196" s="156">
        <f t="shared" si="114"/>
        <v>0</v>
      </c>
      <c r="H196" s="156">
        <f t="shared" si="114"/>
        <v>0</v>
      </c>
      <c r="I196" s="156">
        <f t="shared" si="88"/>
        <v>91685.38</v>
      </c>
      <c r="J196" s="156">
        <f t="shared" si="89"/>
        <v>409969.62</v>
      </c>
      <c r="K196" s="156">
        <f t="shared" si="90"/>
        <v>33726.619999999995</v>
      </c>
    </row>
    <row r="197" spans="1:11" ht="25.5">
      <c r="A197" s="50" t="s">
        <v>138</v>
      </c>
      <c r="B197" s="27"/>
      <c r="C197" s="121"/>
      <c r="D197" s="161">
        <f>D198+D200+D203</f>
        <v>415437</v>
      </c>
      <c r="E197" s="161">
        <f t="shared" ref="E197:H197" si="115">E198+E200+E203</f>
        <v>103858</v>
      </c>
      <c r="F197" s="161">
        <f t="shared" si="115"/>
        <v>91685.38</v>
      </c>
      <c r="G197" s="161">
        <f t="shared" si="115"/>
        <v>0</v>
      </c>
      <c r="H197" s="161">
        <f t="shared" si="115"/>
        <v>0</v>
      </c>
      <c r="I197" s="153">
        <f t="shared" si="88"/>
        <v>91685.38</v>
      </c>
      <c r="J197" s="153">
        <f t="shared" si="89"/>
        <v>323751.62</v>
      </c>
      <c r="K197" s="153">
        <f t="shared" si="90"/>
        <v>12172.619999999995</v>
      </c>
    </row>
    <row r="198" spans="1:11" ht="15">
      <c r="A198" s="70" t="s">
        <v>425</v>
      </c>
      <c r="B198" s="73"/>
      <c r="C198" s="121" t="s">
        <v>444</v>
      </c>
      <c r="D198" s="153">
        <v>316772</v>
      </c>
      <c r="E198" s="153">
        <v>79193</v>
      </c>
      <c r="F198" s="153">
        <v>71254.33</v>
      </c>
      <c r="G198" s="153">
        <v>0</v>
      </c>
      <c r="H198" s="153">
        <v>0</v>
      </c>
      <c r="I198" s="153">
        <f t="shared" si="88"/>
        <v>71254.33</v>
      </c>
      <c r="J198" s="153">
        <f t="shared" si="89"/>
        <v>245517.66999999998</v>
      </c>
      <c r="K198" s="153">
        <f t="shared" si="90"/>
        <v>7938.6699999999983</v>
      </c>
    </row>
    <row r="199" spans="1:11" ht="38.25">
      <c r="A199" s="70" t="s">
        <v>23</v>
      </c>
      <c r="B199" s="27"/>
      <c r="C199" s="121" t="s">
        <v>445</v>
      </c>
      <c r="D199" s="153">
        <v>3000</v>
      </c>
      <c r="E199" s="153">
        <v>750</v>
      </c>
      <c r="F199" s="153">
        <v>0</v>
      </c>
      <c r="G199" s="153">
        <v>0</v>
      </c>
      <c r="H199" s="153">
        <v>0</v>
      </c>
      <c r="I199" s="153">
        <f t="shared" si="88"/>
        <v>0</v>
      </c>
      <c r="J199" s="153">
        <f t="shared" si="89"/>
        <v>3000</v>
      </c>
      <c r="K199" s="153">
        <f t="shared" si="90"/>
        <v>750</v>
      </c>
    </row>
    <row r="200" spans="1:11" s="96" customFormat="1" ht="15">
      <c r="A200" s="75" t="s">
        <v>140</v>
      </c>
      <c r="B200" s="73"/>
      <c r="C200" s="123"/>
      <c r="D200" s="155">
        <f t="shared" ref="D200:H200" si="116">SUM(D199:D199)</f>
        <v>3000</v>
      </c>
      <c r="E200" s="155">
        <f t="shared" si="116"/>
        <v>750</v>
      </c>
      <c r="F200" s="155">
        <f t="shared" si="116"/>
        <v>0</v>
      </c>
      <c r="G200" s="155">
        <f t="shared" si="116"/>
        <v>0</v>
      </c>
      <c r="H200" s="155">
        <f t="shared" si="116"/>
        <v>0</v>
      </c>
      <c r="I200" s="156">
        <f t="shared" si="88"/>
        <v>0</v>
      </c>
      <c r="J200" s="156">
        <f t="shared" si="89"/>
        <v>3000</v>
      </c>
      <c r="K200" s="156">
        <f t="shared" si="90"/>
        <v>750</v>
      </c>
    </row>
    <row r="201" spans="1:11" ht="19.5" customHeight="1">
      <c r="A201" s="79" t="s">
        <v>98</v>
      </c>
      <c r="B201" s="27"/>
      <c r="C201" s="121" t="s">
        <v>446</v>
      </c>
      <c r="D201" s="153">
        <v>69690</v>
      </c>
      <c r="E201" s="153">
        <v>17422</v>
      </c>
      <c r="F201" s="153">
        <v>14883.56</v>
      </c>
      <c r="G201" s="153">
        <v>0</v>
      </c>
      <c r="H201" s="153">
        <v>0</v>
      </c>
      <c r="I201" s="153">
        <f t="shared" si="88"/>
        <v>14883.56</v>
      </c>
      <c r="J201" s="153">
        <f t="shared" si="89"/>
        <v>54806.44</v>
      </c>
      <c r="K201" s="153">
        <f t="shared" si="90"/>
        <v>2538.4400000000005</v>
      </c>
    </row>
    <row r="202" spans="1:11" ht="15">
      <c r="A202" s="79" t="s">
        <v>99</v>
      </c>
      <c r="B202" s="27"/>
      <c r="C202" s="121" t="s">
        <v>447</v>
      </c>
      <c r="D202" s="153">
        <v>25975</v>
      </c>
      <c r="E202" s="153">
        <v>6493</v>
      </c>
      <c r="F202" s="153">
        <v>5547.49</v>
      </c>
      <c r="G202" s="153">
        <v>0</v>
      </c>
      <c r="H202" s="153">
        <v>0</v>
      </c>
      <c r="I202" s="153">
        <f t="shared" si="88"/>
        <v>5547.49</v>
      </c>
      <c r="J202" s="153">
        <f t="shared" si="89"/>
        <v>20427.510000000002</v>
      </c>
      <c r="K202" s="153">
        <f t="shared" si="90"/>
        <v>945.51000000000022</v>
      </c>
    </row>
    <row r="203" spans="1:11" s="26" customFormat="1" ht="18" customHeight="1">
      <c r="A203" s="50" t="s">
        <v>139</v>
      </c>
      <c r="B203" s="73"/>
      <c r="C203" s="123"/>
      <c r="D203" s="155">
        <f>SUM(D201:D202)</f>
        <v>95665</v>
      </c>
      <c r="E203" s="155">
        <f>SUM(E201:E202)</f>
        <v>23915</v>
      </c>
      <c r="F203" s="155">
        <f t="shared" ref="F203" si="117">SUM(F201:F202)</f>
        <v>20431.05</v>
      </c>
      <c r="G203" s="155">
        <f t="shared" ref="G203:H203" si="118">SUM(G201:G202)</f>
        <v>0</v>
      </c>
      <c r="H203" s="155">
        <f t="shared" si="118"/>
        <v>0</v>
      </c>
      <c r="I203" s="156">
        <f t="shared" si="88"/>
        <v>20431.05</v>
      </c>
      <c r="J203" s="156">
        <f t="shared" si="89"/>
        <v>75233.95</v>
      </c>
      <c r="K203" s="156">
        <f t="shared" si="90"/>
        <v>3483.9500000000007</v>
      </c>
    </row>
    <row r="204" spans="1:11" s="26" customFormat="1" ht="15">
      <c r="A204" s="50" t="s">
        <v>132</v>
      </c>
      <c r="B204" s="73"/>
      <c r="C204" s="123"/>
      <c r="D204" s="155">
        <f>D205+D206+D209+D208</f>
        <v>66040</v>
      </c>
      <c r="E204" s="155">
        <f>E205+E206+E209+E208</f>
        <v>16509</v>
      </c>
      <c r="F204" s="155">
        <f t="shared" ref="F204" si="119">F205+F206+F209+F208</f>
        <v>0</v>
      </c>
      <c r="G204" s="155">
        <f t="shared" ref="G204:H204" si="120">G205+G206+G209+G208</f>
        <v>0</v>
      </c>
      <c r="H204" s="155">
        <f t="shared" si="120"/>
        <v>0</v>
      </c>
      <c r="I204" s="156">
        <f t="shared" si="88"/>
        <v>0</v>
      </c>
      <c r="J204" s="156">
        <f t="shared" si="89"/>
        <v>66040</v>
      </c>
      <c r="K204" s="156">
        <f t="shared" si="90"/>
        <v>16509</v>
      </c>
    </row>
    <row r="205" spans="1:11" ht="15">
      <c r="A205" s="70" t="s">
        <v>12</v>
      </c>
      <c r="B205" s="27"/>
      <c r="C205" s="121" t="s">
        <v>448</v>
      </c>
      <c r="D205" s="153">
        <v>32400</v>
      </c>
      <c r="E205" s="153">
        <v>8100</v>
      </c>
      <c r="F205" s="153">
        <v>0</v>
      </c>
      <c r="G205" s="153">
        <v>0</v>
      </c>
      <c r="H205" s="153">
        <v>0</v>
      </c>
      <c r="I205" s="153">
        <f t="shared" si="88"/>
        <v>0</v>
      </c>
      <c r="J205" s="153">
        <f t="shared" si="89"/>
        <v>32400</v>
      </c>
      <c r="K205" s="153">
        <f t="shared" si="90"/>
        <v>8100</v>
      </c>
    </row>
    <row r="206" spans="1:11" ht="15">
      <c r="A206" s="70" t="s">
        <v>13</v>
      </c>
      <c r="B206" s="27"/>
      <c r="C206" s="121" t="s">
        <v>449</v>
      </c>
      <c r="D206" s="153">
        <v>6915</v>
      </c>
      <c r="E206" s="153">
        <v>1728</v>
      </c>
      <c r="F206" s="153">
        <v>0</v>
      </c>
      <c r="G206" s="153">
        <v>0</v>
      </c>
      <c r="H206" s="153">
        <v>0</v>
      </c>
      <c r="I206" s="153">
        <f t="shared" si="88"/>
        <v>0</v>
      </c>
      <c r="J206" s="153">
        <f t="shared" si="89"/>
        <v>6915</v>
      </c>
      <c r="K206" s="153">
        <f t="shared" si="90"/>
        <v>1728</v>
      </c>
    </row>
    <row r="207" spans="1:11" ht="12.75" hidden="1" customHeight="1">
      <c r="A207" s="70" t="s">
        <v>15</v>
      </c>
      <c r="B207" s="27"/>
      <c r="C207" s="121" t="s">
        <v>121</v>
      </c>
      <c r="D207" s="153"/>
      <c r="E207" s="153"/>
      <c r="F207" s="153"/>
      <c r="G207" s="153">
        <v>0</v>
      </c>
      <c r="H207" s="153">
        <v>0</v>
      </c>
      <c r="I207" s="153">
        <f t="shared" si="88"/>
        <v>0</v>
      </c>
      <c r="J207" s="153">
        <f t="shared" si="89"/>
        <v>0</v>
      </c>
      <c r="K207" s="153">
        <f t="shared" si="90"/>
        <v>0</v>
      </c>
    </row>
    <row r="208" spans="1:11" ht="15">
      <c r="A208" s="70" t="s">
        <v>15</v>
      </c>
      <c r="B208" s="27"/>
      <c r="C208" s="121" t="s">
        <v>450</v>
      </c>
      <c r="D208" s="153">
        <v>7421</v>
      </c>
      <c r="E208" s="153">
        <v>1855</v>
      </c>
      <c r="F208" s="153">
        <v>0</v>
      </c>
      <c r="G208" s="153">
        <v>0</v>
      </c>
      <c r="H208" s="153">
        <v>0</v>
      </c>
      <c r="I208" s="153">
        <f t="shared" si="88"/>
        <v>0</v>
      </c>
      <c r="J208" s="153">
        <f t="shared" si="89"/>
        <v>7421</v>
      </c>
      <c r="K208" s="153">
        <f t="shared" si="90"/>
        <v>1855</v>
      </c>
    </row>
    <row r="209" spans="1:11" ht="15">
      <c r="A209" s="70" t="s">
        <v>16</v>
      </c>
      <c r="B209" s="27"/>
      <c r="C209" s="121" t="s">
        <v>451</v>
      </c>
      <c r="D209" s="153">
        <v>19304</v>
      </c>
      <c r="E209" s="153">
        <v>4826</v>
      </c>
      <c r="F209" s="153">
        <v>0</v>
      </c>
      <c r="G209" s="153">
        <v>0</v>
      </c>
      <c r="H209" s="153">
        <v>0</v>
      </c>
      <c r="I209" s="153">
        <f t="shared" si="88"/>
        <v>0</v>
      </c>
      <c r="J209" s="153">
        <f t="shared" si="89"/>
        <v>19304</v>
      </c>
      <c r="K209" s="153">
        <f t="shared" si="90"/>
        <v>4826</v>
      </c>
    </row>
    <row r="210" spans="1:11" ht="15">
      <c r="A210" s="70" t="s">
        <v>17</v>
      </c>
      <c r="B210" s="27"/>
      <c r="C210" s="121" t="s">
        <v>452</v>
      </c>
      <c r="D210" s="153">
        <v>7600</v>
      </c>
      <c r="E210" s="153">
        <v>1900</v>
      </c>
      <c r="F210" s="153">
        <v>0</v>
      </c>
      <c r="G210" s="153">
        <v>0</v>
      </c>
      <c r="H210" s="153">
        <v>0</v>
      </c>
      <c r="I210" s="153">
        <f t="shared" si="88"/>
        <v>0</v>
      </c>
      <c r="J210" s="153">
        <f t="shared" si="89"/>
        <v>7600</v>
      </c>
      <c r="K210" s="153">
        <f t="shared" si="90"/>
        <v>1900</v>
      </c>
    </row>
    <row r="211" spans="1:11" ht="15" hidden="1">
      <c r="A211" s="91" t="s">
        <v>18</v>
      </c>
      <c r="B211" s="27"/>
      <c r="C211" s="121" t="s">
        <v>453</v>
      </c>
      <c r="D211" s="153"/>
      <c r="E211" s="153"/>
      <c r="F211" s="153">
        <v>0</v>
      </c>
      <c r="G211" s="153">
        <v>0</v>
      </c>
      <c r="H211" s="153">
        <v>0</v>
      </c>
      <c r="I211" s="153">
        <f t="shared" si="88"/>
        <v>0</v>
      </c>
      <c r="J211" s="153">
        <f t="shared" si="89"/>
        <v>0</v>
      </c>
      <c r="K211" s="153">
        <f t="shared" si="90"/>
        <v>0</v>
      </c>
    </row>
    <row r="212" spans="1:11" ht="25.5">
      <c r="A212" s="72" t="s">
        <v>422</v>
      </c>
      <c r="B212" s="27"/>
      <c r="C212" s="121" t="s">
        <v>454</v>
      </c>
      <c r="D212" s="153">
        <v>12578</v>
      </c>
      <c r="E212" s="153">
        <v>3145</v>
      </c>
      <c r="F212" s="153">
        <v>0</v>
      </c>
      <c r="G212" s="153">
        <v>0</v>
      </c>
      <c r="H212" s="153">
        <v>0</v>
      </c>
      <c r="I212" s="153">
        <f t="shared" ref="I212:I272" si="121">F212+G212+H212</f>
        <v>0</v>
      </c>
      <c r="J212" s="153">
        <f t="shared" ref="J212:J274" si="122">D212-I212</f>
        <v>12578</v>
      </c>
      <c r="K212" s="153">
        <f t="shared" ref="K212:K274" si="123">E212-I212</f>
        <v>3145</v>
      </c>
    </row>
    <row r="213" spans="1:11" ht="15" hidden="1">
      <c r="A213" s="72"/>
      <c r="B213" s="27"/>
      <c r="C213" s="121"/>
      <c r="D213" s="153"/>
      <c r="E213" s="153"/>
      <c r="F213" s="153"/>
      <c r="G213" s="153"/>
      <c r="H213" s="153"/>
      <c r="I213" s="153">
        <f t="shared" si="121"/>
        <v>0</v>
      </c>
      <c r="J213" s="153">
        <f t="shared" si="122"/>
        <v>0</v>
      </c>
      <c r="K213" s="153">
        <f t="shared" si="123"/>
        <v>0</v>
      </c>
    </row>
    <row r="214" spans="1:11" s="96" customFormat="1" ht="15" hidden="1">
      <c r="A214" s="114" t="s">
        <v>343</v>
      </c>
      <c r="B214" s="112"/>
      <c r="C214" s="125"/>
      <c r="D214" s="161">
        <f>D215+D216</f>
        <v>0</v>
      </c>
      <c r="E214" s="161">
        <f t="shared" ref="E214:H214" si="124">E215+E216</f>
        <v>0</v>
      </c>
      <c r="F214" s="161">
        <f t="shared" ref="F214" si="125">F215+F216</f>
        <v>0</v>
      </c>
      <c r="G214" s="161">
        <f t="shared" si="124"/>
        <v>0</v>
      </c>
      <c r="H214" s="161">
        <f t="shared" si="124"/>
        <v>0</v>
      </c>
      <c r="I214" s="153">
        <f t="shared" si="121"/>
        <v>0</v>
      </c>
      <c r="J214" s="153">
        <f t="shared" si="122"/>
        <v>0</v>
      </c>
      <c r="K214" s="153">
        <f t="shared" si="123"/>
        <v>0</v>
      </c>
    </row>
    <row r="215" spans="1:11" ht="15" hidden="1">
      <c r="A215" s="70" t="s">
        <v>12</v>
      </c>
      <c r="B215" s="27"/>
      <c r="C215" s="121" t="s">
        <v>455</v>
      </c>
      <c r="D215" s="153"/>
      <c r="E215" s="153"/>
      <c r="F215" s="153"/>
      <c r="G215" s="153">
        <v>0</v>
      </c>
      <c r="H215" s="153">
        <v>0</v>
      </c>
      <c r="I215" s="153">
        <f t="shared" si="121"/>
        <v>0</v>
      </c>
      <c r="J215" s="153">
        <f t="shared" si="122"/>
        <v>0</v>
      </c>
      <c r="K215" s="153">
        <f t="shared" si="123"/>
        <v>0</v>
      </c>
    </row>
    <row r="216" spans="1:11" ht="15" hidden="1">
      <c r="A216" s="91" t="s">
        <v>18</v>
      </c>
      <c r="B216" s="27"/>
      <c r="C216" s="121" t="s">
        <v>456</v>
      </c>
      <c r="D216" s="153"/>
      <c r="E216" s="153"/>
      <c r="F216" s="153"/>
      <c r="G216" s="153">
        <v>0</v>
      </c>
      <c r="H216" s="153">
        <v>0</v>
      </c>
      <c r="I216" s="153">
        <f t="shared" si="121"/>
        <v>0</v>
      </c>
      <c r="J216" s="153">
        <f t="shared" si="122"/>
        <v>0</v>
      </c>
      <c r="K216" s="153">
        <f t="shared" si="123"/>
        <v>0</v>
      </c>
    </row>
    <row r="217" spans="1:11" ht="15" hidden="1">
      <c r="A217" s="91"/>
      <c r="B217" s="27"/>
      <c r="C217" s="121"/>
      <c r="D217" s="153"/>
      <c r="E217" s="153"/>
      <c r="F217" s="153"/>
      <c r="G217" s="153"/>
      <c r="H217" s="153"/>
      <c r="I217" s="153">
        <f t="shared" si="121"/>
        <v>0</v>
      </c>
      <c r="J217" s="153">
        <f t="shared" si="122"/>
        <v>0</v>
      </c>
      <c r="K217" s="153">
        <f t="shared" si="123"/>
        <v>0</v>
      </c>
    </row>
    <row r="218" spans="1:11" s="96" customFormat="1" ht="15" hidden="1">
      <c r="A218" s="113" t="s">
        <v>342</v>
      </c>
      <c r="B218" s="112"/>
      <c r="C218" s="125"/>
      <c r="D218" s="161">
        <f>D219+D220+D221</f>
        <v>0</v>
      </c>
      <c r="E218" s="161">
        <f t="shared" ref="E218:H218" si="126">E219+E220+E221</f>
        <v>0</v>
      </c>
      <c r="F218" s="161">
        <f t="shared" ref="F218" si="127">F219+F220+F221</f>
        <v>0</v>
      </c>
      <c r="G218" s="161">
        <f t="shared" si="126"/>
        <v>0</v>
      </c>
      <c r="H218" s="161">
        <f t="shared" si="126"/>
        <v>0</v>
      </c>
      <c r="I218" s="153">
        <f t="shared" si="121"/>
        <v>0</v>
      </c>
      <c r="J218" s="153">
        <f t="shared" si="122"/>
        <v>0</v>
      </c>
      <c r="K218" s="153">
        <f t="shared" si="123"/>
        <v>0</v>
      </c>
    </row>
    <row r="219" spans="1:11" ht="15" hidden="1">
      <c r="A219" s="70" t="s">
        <v>12</v>
      </c>
      <c r="B219" s="27"/>
      <c r="C219" s="121" t="s">
        <v>457</v>
      </c>
      <c r="D219" s="153"/>
      <c r="E219" s="153"/>
      <c r="F219" s="153"/>
      <c r="G219" s="153">
        <v>0</v>
      </c>
      <c r="H219" s="153">
        <v>0</v>
      </c>
      <c r="I219" s="153">
        <f t="shared" si="121"/>
        <v>0</v>
      </c>
      <c r="J219" s="153">
        <f t="shared" si="122"/>
        <v>0</v>
      </c>
      <c r="K219" s="153">
        <f t="shared" si="123"/>
        <v>0</v>
      </c>
    </row>
    <row r="220" spans="1:11" ht="15" hidden="1">
      <c r="A220" s="70" t="s">
        <v>16</v>
      </c>
      <c r="B220" s="27"/>
      <c r="C220" s="121" t="s">
        <v>458</v>
      </c>
      <c r="D220" s="153"/>
      <c r="E220" s="153"/>
      <c r="F220" s="153"/>
      <c r="G220" s="153">
        <v>0</v>
      </c>
      <c r="H220" s="153">
        <v>0</v>
      </c>
      <c r="I220" s="153">
        <f t="shared" si="121"/>
        <v>0</v>
      </c>
      <c r="J220" s="153">
        <f t="shared" si="122"/>
        <v>0</v>
      </c>
      <c r="K220" s="153">
        <f t="shared" si="123"/>
        <v>0</v>
      </c>
    </row>
    <row r="221" spans="1:11" ht="15" hidden="1">
      <c r="A221" s="91" t="s">
        <v>18</v>
      </c>
      <c r="B221" s="27"/>
      <c r="C221" s="121" t="s">
        <v>459</v>
      </c>
      <c r="D221" s="153"/>
      <c r="E221" s="153"/>
      <c r="F221" s="153"/>
      <c r="G221" s="153">
        <v>0</v>
      </c>
      <c r="H221" s="153">
        <v>0</v>
      </c>
      <c r="I221" s="153">
        <f t="shared" si="121"/>
        <v>0</v>
      </c>
      <c r="J221" s="153">
        <f t="shared" si="122"/>
        <v>0</v>
      </c>
      <c r="K221" s="153">
        <f t="shared" si="123"/>
        <v>0</v>
      </c>
    </row>
    <row r="222" spans="1:11" ht="15" hidden="1">
      <c r="A222" s="91"/>
      <c r="B222" s="27"/>
      <c r="C222" s="121"/>
      <c r="D222" s="153"/>
      <c r="E222" s="153"/>
      <c r="F222" s="153"/>
      <c r="G222" s="153"/>
      <c r="H222" s="153"/>
      <c r="I222" s="153">
        <f t="shared" si="121"/>
        <v>0</v>
      </c>
      <c r="J222" s="153">
        <f t="shared" si="122"/>
        <v>0</v>
      </c>
      <c r="K222" s="153">
        <f t="shared" si="123"/>
        <v>0</v>
      </c>
    </row>
    <row r="223" spans="1:11" ht="15">
      <c r="A223" s="91"/>
      <c r="B223" s="27"/>
      <c r="C223" s="121"/>
      <c r="D223" s="153"/>
      <c r="E223" s="153"/>
      <c r="F223" s="153"/>
      <c r="G223" s="153"/>
      <c r="H223" s="153"/>
      <c r="I223" s="153"/>
      <c r="J223" s="153"/>
      <c r="K223" s="153"/>
    </row>
    <row r="224" spans="1:11" s="60" customFormat="1" ht="30" customHeight="1">
      <c r="A224" s="76" t="s">
        <v>477</v>
      </c>
      <c r="B224" s="59"/>
      <c r="C224" s="122" t="s">
        <v>468</v>
      </c>
      <c r="D224" s="156">
        <f>D225+D235+D239</f>
        <v>1080148</v>
      </c>
      <c r="E224" s="156">
        <f>E225+E235+E239</f>
        <v>305843</v>
      </c>
      <c r="F224" s="156">
        <f>F225+F235+F239</f>
        <v>256091.05</v>
      </c>
      <c r="G224" s="156">
        <f>G225+G235+G239</f>
        <v>0</v>
      </c>
      <c r="H224" s="156">
        <f>H225+H235+H239</f>
        <v>0</v>
      </c>
      <c r="I224" s="156">
        <f t="shared" si="121"/>
        <v>256091.05</v>
      </c>
      <c r="J224" s="156">
        <f t="shared" si="122"/>
        <v>824056.95</v>
      </c>
      <c r="K224" s="156">
        <f t="shared" si="123"/>
        <v>49751.950000000012</v>
      </c>
    </row>
    <row r="225" spans="1:11" s="60" customFormat="1" ht="25.5">
      <c r="A225" s="91" t="s">
        <v>138</v>
      </c>
      <c r="B225" s="59"/>
      <c r="C225" s="121" t="s">
        <v>467</v>
      </c>
      <c r="D225" s="156">
        <f>D226+D231+D234</f>
        <v>957803</v>
      </c>
      <c r="E225" s="156">
        <f t="shared" ref="E225:H225" si="128">E226+E231+E234</f>
        <v>280065</v>
      </c>
      <c r="F225" s="156">
        <f t="shared" si="128"/>
        <v>240679.65</v>
      </c>
      <c r="G225" s="156">
        <f t="shared" si="128"/>
        <v>0</v>
      </c>
      <c r="H225" s="156">
        <f t="shared" si="128"/>
        <v>0</v>
      </c>
      <c r="I225" s="156">
        <f t="shared" si="121"/>
        <v>240679.65</v>
      </c>
      <c r="J225" s="156">
        <f t="shared" si="122"/>
        <v>717123.35</v>
      </c>
      <c r="K225" s="156">
        <f t="shared" si="123"/>
        <v>39385.350000000006</v>
      </c>
    </row>
    <row r="226" spans="1:11" ht="15">
      <c r="A226" s="70" t="s">
        <v>425</v>
      </c>
      <c r="B226" s="27"/>
      <c r="C226" s="121" t="s">
        <v>460</v>
      </c>
      <c r="D226" s="153">
        <v>683581</v>
      </c>
      <c r="E226" s="153">
        <v>198596</v>
      </c>
      <c r="F226" s="153">
        <v>186813.16</v>
      </c>
      <c r="G226" s="153">
        <v>0</v>
      </c>
      <c r="H226" s="153">
        <v>0</v>
      </c>
      <c r="I226" s="153">
        <f t="shared" si="121"/>
        <v>186813.16</v>
      </c>
      <c r="J226" s="153">
        <f t="shared" si="122"/>
        <v>496767.83999999997</v>
      </c>
      <c r="K226" s="153">
        <f t="shared" si="123"/>
        <v>11782.839999999997</v>
      </c>
    </row>
    <row r="227" spans="1:11" ht="38.25">
      <c r="A227" s="70" t="s">
        <v>22</v>
      </c>
      <c r="B227" s="27"/>
      <c r="C227" s="121" t="s">
        <v>461</v>
      </c>
      <c r="D227" s="153">
        <v>25000</v>
      </c>
      <c r="E227" s="153">
        <v>12000</v>
      </c>
      <c r="F227" s="153">
        <v>0</v>
      </c>
      <c r="G227" s="153">
        <v>0</v>
      </c>
      <c r="H227" s="153">
        <v>0</v>
      </c>
      <c r="I227" s="153">
        <f t="shared" si="121"/>
        <v>0</v>
      </c>
      <c r="J227" s="153">
        <f t="shared" si="122"/>
        <v>25000</v>
      </c>
      <c r="K227" s="153">
        <f t="shared" si="123"/>
        <v>12000</v>
      </c>
    </row>
    <row r="228" spans="1:11" ht="38.25">
      <c r="A228" s="70" t="s">
        <v>23</v>
      </c>
      <c r="B228" s="27"/>
      <c r="C228" s="121" t="s">
        <v>462</v>
      </c>
      <c r="D228" s="153">
        <v>18000</v>
      </c>
      <c r="E228" s="153">
        <v>3625</v>
      </c>
      <c r="F228" s="153">
        <v>0</v>
      </c>
      <c r="G228" s="153">
        <v>0</v>
      </c>
      <c r="H228" s="153">
        <v>0</v>
      </c>
      <c r="I228" s="153">
        <f t="shared" si="121"/>
        <v>0</v>
      </c>
      <c r="J228" s="153">
        <f t="shared" si="122"/>
        <v>18000</v>
      </c>
      <c r="K228" s="153">
        <f t="shared" si="123"/>
        <v>3625</v>
      </c>
    </row>
    <row r="229" spans="1:11" ht="15">
      <c r="A229" s="70" t="s">
        <v>13</v>
      </c>
      <c r="B229" s="27"/>
      <c r="C229" s="121" t="s">
        <v>475</v>
      </c>
      <c r="D229" s="153">
        <v>11581</v>
      </c>
      <c r="E229" s="153">
        <v>2868</v>
      </c>
      <c r="F229" s="153">
        <v>0</v>
      </c>
      <c r="G229" s="153">
        <v>0</v>
      </c>
      <c r="H229" s="153">
        <v>0</v>
      </c>
      <c r="I229" s="153">
        <f t="shared" si="121"/>
        <v>0</v>
      </c>
      <c r="J229" s="153">
        <f t="shared" si="122"/>
        <v>11581</v>
      </c>
      <c r="K229" s="153">
        <f t="shared" si="123"/>
        <v>2868</v>
      </c>
    </row>
    <row r="230" spans="1:11" ht="15">
      <c r="A230" s="70" t="s">
        <v>16</v>
      </c>
      <c r="B230" s="27"/>
      <c r="C230" s="121" t="s">
        <v>470</v>
      </c>
      <c r="D230" s="153">
        <v>13200</v>
      </c>
      <c r="E230" s="153">
        <v>3000</v>
      </c>
      <c r="F230" s="153">
        <v>0</v>
      </c>
      <c r="G230" s="153">
        <v>0</v>
      </c>
      <c r="H230" s="153">
        <v>0</v>
      </c>
      <c r="I230" s="153">
        <f t="shared" si="121"/>
        <v>0</v>
      </c>
      <c r="J230" s="153">
        <f t="shared" si="122"/>
        <v>13200</v>
      </c>
      <c r="K230" s="153">
        <f t="shared" si="123"/>
        <v>3000</v>
      </c>
    </row>
    <row r="231" spans="1:11" s="74" customFormat="1" ht="15">
      <c r="A231" s="75" t="s">
        <v>140</v>
      </c>
      <c r="B231" s="73"/>
      <c r="C231" s="123"/>
      <c r="D231" s="155">
        <f>SUM(D227:D230)</f>
        <v>67781</v>
      </c>
      <c r="E231" s="155">
        <f t="shared" ref="E231" si="129">SUM(E227:E230)</f>
        <v>21493</v>
      </c>
      <c r="F231" s="155">
        <f t="shared" ref="F231" si="130">SUM(F227:F230)</f>
        <v>0</v>
      </c>
      <c r="G231" s="155">
        <f t="shared" ref="G231" si="131">SUM(G227:G230)</f>
        <v>0</v>
      </c>
      <c r="H231" s="155">
        <f t="shared" ref="H231" si="132">SUM(H227:H230)</f>
        <v>0</v>
      </c>
      <c r="I231" s="156">
        <f t="shared" si="121"/>
        <v>0</v>
      </c>
      <c r="J231" s="156">
        <f t="shared" si="122"/>
        <v>67781</v>
      </c>
      <c r="K231" s="156">
        <f t="shared" si="123"/>
        <v>21493</v>
      </c>
    </row>
    <row r="232" spans="1:11" ht="25.5">
      <c r="A232" s="77" t="s">
        <v>98</v>
      </c>
      <c r="B232" s="27"/>
      <c r="C232" s="121" t="s">
        <v>471</v>
      </c>
      <c r="D232" s="153">
        <v>150387</v>
      </c>
      <c r="E232" s="153">
        <v>43691</v>
      </c>
      <c r="F232" s="153">
        <v>41551.129999999997</v>
      </c>
      <c r="G232" s="153">
        <v>0</v>
      </c>
      <c r="H232" s="153">
        <v>0</v>
      </c>
      <c r="I232" s="153">
        <f t="shared" si="121"/>
        <v>41551.129999999997</v>
      </c>
      <c r="J232" s="153">
        <f t="shared" si="122"/>
        <v>108835.87</v>
      </c>
      <c r="K232" s="153">
        <f t="shared" si="123"/>
        <v>2139.8700000000026</v>
      </c>
    </row>
    <row r="233" spans="1:11" ht="15">
      <c r="A233" s="77" t="s">
        <v>99</v>
      </c>
      <c r="B233" s="27"/>
      <c r="C233" s="121" t="s">
        <v>472</v>
      </c>
      <c r="D233" s="153">
        <v>56054</v>
      </c>
      <c r="E233" s="153">
        <v>16285</v>
      </c>
      <c r="F233" s="153">
        <v>12315.36</v>
      </c>
      <c r="G233" s="153">
        <v>0</v>
      </c>
      <c r="H233" s="153">
        <v>0</v>
      </c>
      <c r="I233" s="153">
        <f t="shared" si="121"/>
        <v>12315.36</v>
      </c>
      <c r="J233" s="153">
        <f t="shared" si="122"/>
        <v>43738.64</v>
      </c>
      <c r="K233" s="153">
        <f t="shared" si="123"/>
        <v>3969.6399999999994</v>
      </c>
    </row>
    <row r="234" spans="1:11" s="74" customFormat="1" ht="15">
      <c r="A234" s="91" t="s">
        <v>139</v>
      </c>
      <c r="B234" s="73"/>
      <c r="C234" s="123"/>
      <c r="D234" s="155">
        <f t="shared" ref="D234" si="133">SUM(D232:D233)</f>
        <v>206441</v>
      </c>
      <c r="E234" s="155">
        <f>SUM(E232:E233)</f>
        <v>59976</v>
      </c>
      <c r="F234" s="155">
        <f t="shared" ref="F234" si="134">SUM(F232:F233)</f>
        <v>53866.49</v>
      </c>
      <c r="G234" s="155">
        <f t="shared" ref="G234:H234" si="135">SUM(G232:G233)</f>
        <v>0</v>
      </c>
      <c r="H234" s="155">
        <f t="shared" si="135"/>
        <v>0</v>
      </c>
      <c r="I234" s="156">
        <f t="shared" si="121"/>
        <v>53866.49</v>
      </c>
      <c r="J234" s="156">
        <f t="shared" si="122"/>
        <v>152574.51</v>
      </c>
      <c r="K234" s="156">
        <f t="shared" si="123"/>
        <v>6109.510000000002</v>
      </c>
    </row>
    <row r="235" spans="1:11" s="74" customFormat="1" ht="15">
      <c r="A235" s="76" t="s">
        <v>132</v>
      </c>
      <c r="B235" s="73"/>
      <c r="C235" s="123"/>
      <c r="D235" s="155">
        <f>D236+D237+D238</f>
        <v>95543</v>
      </c>
      <c r="E235" s="155">
        <f>E236+E237+E238</f>
        <v>12476</v>
      </c>
      <c r="F235" s="155">
        <f t="shared" ref="F235:H235" si="136">F236+F237+F238</f>
        <v>6218.4</v>
      </c>
      <c r="G235" s="155">
        <f t="shared" si="136"/>
        <v>0</v>
      </c>
      <c r="H235" s="155">
        <f t="shared" si="136"/>
        <v>0</v>
      </c>
      <c r="I235" s="156">
        <f t="shared" si="121"/>
        <v>6218.4</v>
      </c>
      <c r="J235" s="156">
        <f t="shared" si="122"/>
        <v>89324.6</v>
      </c>
      <c r="K235" s="156">
        <f t="shared" si="123"/>
        <v>6257.6</v>
      </c>
    </row>
    <row r="236" spans="1:11" ht="15">
      <c r="A236" s="70" t="s">
        <v>12</v>
      </c>
      <c r="B236" s="27"/>
      <c r="C236" s="121" t="s">
        <v>463</v>
      </c>
      <c r="D236" s="153">
        <v>11097</v>
      </c>
      <c r="E236" s="153">
        <v>1912</v>
      </c>
      <c r="F236" s="153">
        <v>1274.4000000000001</v>
      </c>
      <c r="G236" s="153">
        <v>0</v>
      </c>
      <c r="H236" s="153">
        <v>0</v>
      </c>
      <c r="I236" s="153">
        <f t="shared" si="121"/>
        <v>1274.4000000000001</v>
      </c>
      <c r="J236" s="153">
        <f t="shared" si="122"/>
        <v>9822.6</v>
      </c>
      <c r="K236" s="153">
        <f t="shared" si="123"/>
        <v>637.59999999999991</v>
      </c>
    </row>
    <row r="237" spans="1:11" ht="15">
      <c r="A237" s="70" t="s">
        <v>15</v>
      </c>
      <c r="B237" s="27"/>
      <c r="C237" s="121" t="s">
        <v>464</v>
      </c>
      <c r="D237" s="153">
        <v>6252</v>
      </c>
      <c r="E237" s="153">
        <v>3852</v>
      </c>
      <c r="F237" s="153">
        <v>0</v>
      </c>
      <c r="G237" s="153">
        <v>0</v>
      </c>
      <c r="H237" s="153">
        <v>0</v>
      </c>
      <c r="I237" s="153">
        <f t="shared" si="121"/>
        <v>0</v>
      </c>
      <c r="J237" s="153">
        <f t="shared" si="122"/>
        <v>6252</v>
      </c>
      <c r="K237" s="153">
        <f t="shared" si="123"/>
        <v>3852</v>
      </c>
    </row>
    <row r="238" spans="1:11" ht="15">
      <c r="A238" s="70" t="s">
        <v>16</v>
      </c>
      <c r="B238" s="27"/>
      <c r="C238" s="121" t="s">
        <v>465</v>
      </c>
      <c r="D238" s="153">
        <v>78194</v>
      </c>
      <c r="E238" s="153">
        <v>6712</v>
      </c>
      <c r="F238" s="153">
        <v>4944</v>
      </c>
      <c r="G238" s="153">
        <v>0</v>
      </c>
      <c r="H238" s="153">
        <v>0</v>
      </c>
      <c r="I238" s="153">
        <f t="shared" si="121"/>
        <v>4944</v>
      </c>
      <c r="J238" s="153">
        <f t="shared" si="122"/>
        <v>73250</v>
      </c>
      <c r="K238" s="153">
        <f t="shared" si="123"/>
        <v>1768</v>
      </c>
    </row>
    <row r="239" spans="1:11" ht="15">
      <c r="A239" s="50" t="s">
        <v>143</v>
      </c>
      <c r="B239" s="27"/>
      <c r="C239" s="121" t="s">
        <v>466</v>
      </c>
      <c r="D239" s="153">
        <f>9193+17609</f>
        <v>26802</v>
      </c>
      <c r="E239" s="153">
        <f>9193+4109</f>
        <v>13302</v>
      </c>
      <c r="F239" s="153">
        <v>9193</v>
      </c>
      <c r="G239" s="153">
        <v>0</v>
      </c>
      <c r="H239" s="153">
        <v>0</v>
      </c>
      <c r="I239" s="153">
        <f t="shared" si="121"/>
        <v>9193</v>
      </c>
      <c r="J239" s="153">
        <f t="shared" si="122"/>
        <v>17609</v>
      </c>
      <c r="K239" s="153">
        <f t="shared" si="123"/>
        <v>4109</v>
      </c>
    </row>
    <row r="240" spans="1:11" s="26" customFormat="1" ht="15">
      <c r="A240" s="50"/>
      <c r="B240" s="73"/>
      <c r="C240" s="123"/>
      <c r="D240" s="155"/>
      <c r="E240" s="155"/>
      <c r="F240" s="155"/>
      <c r="G240" s="155"/>
      <c r="H240" s="155"/>
      <c r="I240" s="153"/>
      <c r="J240" s="153"/>
      <c r="K240" s="153"/>
    </row>
    <row r="241" spans="1:11" ht="14.25">
      <c r="A241" s="28" t="s">
        <v>153</v>
      </c>
      <c r="B241" s="27"/>
      <c r="C241" s="122" t="s">
        <v>156</v>
      </c>
      <c r="D241" s="156">
        <f t="shared" ref="D241:H241" si="137">D242</f>
        <v>264075</v>
      </c>
      <c r="E241" s="156">
        <f t="shared" si="137"/>
        <v>64397</v>
      </c>
      <c r="F241" s="156">
        <f t="shared" si="137"/>
        <v>59058</v>
      </c>
      <c r="G241" s="156">
        <f t="shared" si="137"/>
        <v>0</v>
      </c>
      <c r="H241" s="156">
        <f t="shared" si="137"/>
        <v>0</v>
      </c>
      <c r="I241" s="156">
        <f t="shared" si="121"/>
        <v>59058</v>
      </c>
      <c r="J241" s="156">
        <f t="shared" si="122"/>
        <v>205017</v>
      </c>
      <c r="K241" s="156">
        <f t="shared" si="123"/>
        <v>5339</v>
      </c>
    </row>
    <row r="242" spans="1:11" s="60" customFormat="1" ht="18.75" customHeight="1">
      <c r="A242" s="97" t="s">
        <v>154</v>
      </c>
      <c r="B242" s="59"/>
      <c r="C242" s="122" t="s">
        <v>155</v>
      </c>
      <c r="D242" s="156">
        <f>D243+D248+D249+D250+D251+D252</f>
        <v>264075</v>
      </c>
      <c r="E242" s="156">
        <f t="shared" ref="E242:H242" si="138">E243+E248+E249+E250+E251+E252</f>
        <v>64397</v>
      </c>
      <c r="F242" s="156">
        <f t="shared" si="138"/>
        <v>59058</v>
      </c>
      <c r="G242" s="156">
        <f t="shared" si="138"/>
        <v>0</v>
      </c>
      <c r="H242" s="156">
        <f t="shared" si="138"/>
        <v>0</v>
      </c>
      <c r="I242" s="156">
        <f t="shared" si="121"/>
        <v>59058</v>
      </c>
      <c r="J242" s="156">
        <f t="shared" si="122"/>
        <v>205017</v>
      </c>
      <c r="K242" s="156">
        <f t="shared" si="123"/>
        <v>5339</v>
      </c>
    </row>
    <row r="243" spans="1:11" s="26" customFormat="1" ht="30" customHeight="1">
      <c r="A243" s="50" t="s">
        <v>138</v>
      </c>
      <c r="B243" s="27"/>
      <c r="C243" s="121" t="s">
        <v>424</v>
      </c>
      <c r="D243" s="153">
        <f>D244+D247</f>
        <v>236235</v>
      </c>
      <c r="E243" s="153">
        <f t="shared" ref="E243:H243" si="139">E244+E247</f>
        <v>59058</v>
      </c>
      <c r="F243" s="153">
        <f t="shared" si="139"/>
        <v>59058</v>
      </c>
      <c r="G243" s="153">
        <f t="shared" si="139"/>
        <v>0</v>
      </c>
      <c r="H243" s="153">
        <f t="shared" si="139"/>
        <v>0</v>
      </c>
      <c r="I243" s="153">
        <f t="shared" si="121"/>
        <v>59058</v>
      </c>
      <c r="J243" s="153">
        <f t="shared" si="122"/>
        <v>177177</v>
      </c>
      <c r="K243" s="153">
        <f t="shared" si="123"/>
        <v>0</v>
      </c>
    </row>
    <row r="244" spans="1:11" s="26" customFormat="1" ht="26.25" customHeight="1">
      <c r="A244" s="50" t="s">
        <v>423</v>
      </c>
      <c r="B244" s="27"/>
      <c r="C244" s="121" t="s">
        <v>414</v>
      </c>
      <c r="D244" s="153">
        <v>181440</v>
      </c>
      <c r="E244" s="153">
        <v>45360</v>
      </c>
      <c r="F244" s="153">
        <v>45360</v>
      </c>
      <c r="G244" s="153">
        <v>0</v>
      </c>
      <c r="H244" s="153">
        <v>0</v>
      </c>
      <c r="I244" s="153">
        <f t="shared" si="121"/>
        <v>45360</v>
      </c>
      <c r="J244" s="153">
        <f t="shared" si="122"/>
        <v>136080</v>
      </c>
      <c r="K244" s="153">
        <f t="shared" si="123"/>
        <v>0</v>
      </c>
    </row>
    <row r="245" spans="1:11" s="26" customFormat="1" ht="18.75" customHeight="1">
      <c r="A245" s="79" t="s">
        <v>98</v>
      </c>
      <c r="B245" s="27"/>
      <c r="C245" s="121" t="s">
        <v>415</v>
      </c>
      <c r="D245" s="153">
        <v>39917</v>
      </c>
      <c r="E245" s="153">
        <v>9979</v>
      </c>
      <c r="F245" s="153">
        <v>9979</v>
      </c>
      <c r="G245" s="153">
        <v>0</v>
      </c>
      <c r="H245" s="153">
        <v>0</v>
      </c>
      <c r="I245" s="153">
        <f t="shared" si="121"/>
        <v>9979</v>
      </c>
      <c r="J245" s="153">
        <f t="shared" si="122"/>
        <v>29938</v>
      </c>
      <c r="K245" s="153">
        <f t="shared" si="123"/>
        <v>0</v>
      </c>
    </row>
    <row r="246" spans="1:11" s="26" customFormat="1" ht="18.75" customHeight="1">
      <c r="A246" s="79" t="s">
        <v>99</v>
      </c>
      <c r="B246" s="27"/>
      <c r="C246" s="121" t="s">
        <v>416</v>
      </c>
      <c r="D246" s="153">
        <v>14878</v>
      </c>
      <c r="E246" s="153">
        <v>3719</v>
      </c>
      <c r="F246" s="153">
        <v>3719</v>
      </c>
      <c r="G246" s="153">
        <v>0</v>
      </c>
      <c r="H246" s="153">
        <v>0</v>
      </c>
      <c r="I246" s="153">
        <f t="shared" si="121"/>
        <v>3719</v>
      </c>
      <c r="J246" s="153">
        <f t="shared" si="122"/>
        <v>11159</v>
      </c>
      <c r="K246" s="153">
        <f t="shared" si="123"/>
        <v>0</v>
      </c>
    </row>
    <row r="247" spans="1:11" s="26" customFormat="1" ht="27.75" customHeight="1">
      <c r="A247" s="88" t="s">
        <v>478</v>
      </c>
      <c r="B247" s="25"/>
      <c r="C247" s="123"/>
      <c r="D247" s="155">
        <f>SUM(D245:D246)</f>
        <v>54795</v>
      </c>
      <c r="E247" s="155">
        <f>SUM(E245:E246)</f>
        <v>13698</v>
      </c>
      <c r="F247" s="155">
        <f t="shared" ref="F247" si="140">SUM(F245:F246)</f>
        <v>13698</v>
      </c>
      <c r="G247" s="155">
        <f t="shared" ref="G247:H247" si="141">SUM(G245:G246)</f>
        <v>0</v>
      </c>
      <c r="H247" s="155">
        <f t="shared" si="141"/>
        <v>0</v>
      </c>
      <c r="I247" s="156">
        <f t="shared" si="121"/>
        <v>13698</v>
      </c>
      <c r="J247" s="156">
        <f t="shared" si="122"/>
        <v>41097</v>
      </c>
      <c r="K247" s="156">
        <f t="shared" si="123"/>
        <v>0</v>
      </c>
    </row>
    <row r="248" spans="1:11" s="26" customFormat="1" ht="21.75" customHeight="1">
      <c r="A248" s="70" t="s">
        <v>12</v>
      </c>
      <c r="B248" s="25"/>
      <c r="C248" s="121" t="s">
        <v>417</v>
      </c>
      <c r="D248" s="153">
        <v>350</v>
      </c>
      <c r="E248" s="153">
        <v>0</v>
      </c>
      <c r="F248" s="153">
        <v>0</v>
      </c>
      <c r="G248" s="153">
        <v>0</v>
      </c>
      <c r="H248" s="153">
        <v>0</v>
      </c>
      <c r="I248" s="153">
        <f t="shared" si="121"/>
        <v>0</v>
      </c>
      <c r="J248" s="153">
        <f t="shared" si="122"/>
        <v>350</v>
      </c>
      <c r="K248" s="153">
        <f t="shared" si="123"/>
        <v>0</v>
      </c>
    </row>
    <row r="249" spans="1:11" s="26" customFormat="1" ht="18.75" customHeight="1">
      <c r="A249" s="70" t="s">
        <v>16</v>
      </c>
      <c r="B249" s="25"/>
      <c r="C249" s="121" t="s">
        <v>418</v>
      </c>
      <c r="D249" s="153">
        <v>9835</v>
      </c>
      <c r="E249" s="153">
        <v>1000</v>
      </c>
      <c r="F249" s="153">
        <v>0</v>
      </c>
      <c r="G249" s="153">
        <v>0</v>
      </c>
      <c r="H249" s="153">
        <v>0</v>
      </c>
      <c r="I249" s="153">
        <f t="shared" si="121"/>
        <v>0</v>
      </c>
      <c r="J249" s="153">
        <f t="shared" si="122"/>
        <v>9835</v>
      </c>
      <c r="K249" s="153">
        <f t="shared" si="123"/>
        <v>1000</v>
      </c>
    </row>
    <row r="250" spans="1:11" ht="15.75" customHeight="1">
      <c r="A250" s="70" t="s">
        <v>17</v>
      </c>
      <c r="B250" s="27"/>
      <c r="C250" s="121" t="s">
        <v>419</v>
      </c>
      <c r="D250" s="153">
        <v>12500</v>
      </c>
      <c r="E250" s="153">
        <v>3125</v>
      </c>
      <c r="F250" s="153">
        <v>0</v>
      </c>
      <c r="G250" s="153">
        <v>0</v>
      </c>
      <c r="H250" s="153">
        <v>0</v>
      </c>
      <c r="I250" s="153">
        <f t="shared" si="121"/>
        <v>0</v>
      </c>
      <c r="J250" s="153">
        <f t="shared" si="122"/>
        <v>12500</v>
      </c>
      <c r="K250" s="153">
        <f t="shared" si="123"/>
        <v>3125</v>
      </c>
    </row>
    <row r="251" spans="1:11" s="26" customFormat="1" ht="18.75" customHeight="1">
      <c r="A251" s="91" t="s">
        <v>18</v>
      </c>
      <c r="B251" s="25"/>
      <c r="C251" s="121" t="s">
        <v>420</v>
      </c>
      <c r="D251" s="153">
        <v>300</v>
      </c>
      <c r="E251" s="153">
        <v>0</v>
      </c>
      <c r="F251" s="153">
        <v>0</v>
      </c>
      <c r="G251" s="153">
        <v>0</v>
      </c>
      <c r="H251" s="153">
        <v>0</v>
      </c>
      <c r="I251" s="153">
        <f t="shared" si="121"/>
        <v>0</v>
      </c>
      <c r="J251" s="153">
        <f t="shared" si="122"/>
        <v>300</v>
      </c>
      <c r="K251" s="153">
        <f t="shared" si="123"/>
        <v>0</v>
      </c>
    </row>
    <row r="252" spans="1:11" s="26" customFormat="1" ht="27.75" customHeight="1">
      <c r="A252" s="72" t="s">
        <v>422</v>
      </c>
      <c r="B252" s="25"/>
      <c r="C252" s="121" t="s">
        <v>421</v>
      </c>
      <c r="D252" s="153">
        <v>4855</v>
      </c>
      <c r="E252" s="153">
        <v>1214</v>
      </c>
      <c r="F252" s="153">
        <v>0</v>
      </c>
      <c r="G252" s="153">
        <v>0</v>
      </c>
      <c r="H252" s="153">
        <v>0</v>
      </c>
      <c r="I252" s="153">
        <f t="shared" si="121"/>
        <v>0</v>
      </c>
      <c r="J252" s="153">
        <f t="shared" si="122"/>
        <v>4855</v>
      </c>
      <c r="K252" s="153">
        <f t="shared" si="123"/>
        <v>1214</v>
      </c>
    </row>
    <row r="253" spans="1:11" s="100" customFormat="1" ht="18.75" customHeight="1">
      <c r="A253" s="98" t="s">
        <v>61</v>
      </c>
      <c r="B253" s="99"/>
      <c r="C253" s="122"/>
      <c r="D253" s="162"/>
      <c r="E253" s="162"/>
      <c r="F253" s="162"/>
      <c r="G253" s="162"/>
      <c r="H253" s="162"/>
      <c r="I253" s="153"/>
      <c r="J253" s="153"/>
      <c r="K253" s="153"/>
    </row>
    <row r="254" spans="1:11" ht="15">
      <c r="A254" s="89" t="s">
        <v>491</v>
      </c>
      <c r="B254" s="27"/>
      <c r="C254" s="121" t="s">
        <v>62</v>
      </c>
      <c r="D254" s="153">
        <f>D18+D46+D110</f>
        <v>1344943</v>
      </c>
      <c r="E254" s="153">
        <f>E18+E46+E110</f>
        <v>336236</v>
      </c>
      <c r="F254" s="153">
        <f>F18+F46+F110</f>
        <v>290273.64</v>
      </c>
      <c r="G254" s="153">
        <f>G18+G46+G110</f>
        <v>0</v>
      </c>
      <c r="H254" s="153">
        <f>H18+H46+H110</f>
        <v>0</v>
      </c>
      <c r="I254" s="153">
        <f t="shared" si="121"/>
        <v>290273.64</v>
      </c>
      <c r="J254" s="153">
        <f t="shared" si="122"/>
        <v>1054669.3599999999</v>
      </c>
      <c r="K254" s="153">
        <f t="shared" si="123"/>
        <v>45962.359999999986</v>
      </c>
    </row>
    <row r="255" spans="1:11" ht="15">
      <c r="A255" s="89" t="s">
        <v>492</v>
      </c>
      <c r="B255" s="27"/>
      <c r="C255" s="121" t="s">
        <v>63</v>
      </c>
      <c r="D255" s="153">
        <f>D226+D77+D47</f>
        <v>1631077</v>
      </c>
      <c r="E255" s="153">
        <f>E226+E77+E47</f>
        <v>435470</v>
      </c>
      <c r="F255" s="153">
        <f>F226+F77+F47</f>
        <v>401468.94</v>
      </c>
      <c r="G255" s="153">
        <f>G226+G77+G47</f>
        <v>0</v>
      </c>
      <c r="H255" s="153">
        <f>H226+H77+H47</f>
        <v>0</v>
      </c>
      <c r="I255" s="153">
        <f t="shared" si="121"/>
        <v>401468.94</v>
      </c>
      <c r="J255" s="153">
        <f t="shared" si="122"/>
        <v>1229608.06</v>
      </c>
      <c r="K255" s="153">
        <f t="shared" si="123"/>
        <v>34001.06</v>
      </c>
    </row>
    <row r="256" spans="1:11" s="74" customFormat="1" ht="15">
      <c r="A256" s="101" t="s">
        <v>79</v>
      </c>
      <c r="B256" s="73"/>
      <c r="C256" s="123"/>
      <c r="D256" s="155">
        <f>SUM(D254:D255)</f>
        <v>2976020</v>
      </c>
      <c r="E256" s="155">
        <f>SUM(E254:E255)</f>
        <v>771706</v>
      </c>
      <c r="F256" s="155">
        <f t="shared" ref="F256" si="142">SUM(F254:F255)</f>
        <v>691742.58000000007</v>
      </c>
      <c r="G256" s="155">
        <f t="shared" ref="G256:H256" si="143">SUM(G254:G255)</f>
        <v>0</v>
      </c>
      <c r="H256" s="155">
        <f t="shared" si="143"/>
        <v>0</v>
      </c>
      <c r="I256" s="153">
        <f t="shared" si="121"/>
        <v>691742.58000000007</v>
      </c>
      <c r="J256" s="156">
        <f t="shared" si="122"/>
        <v>2284277.42</v>
      </c>
      <c r="K256" s="156">
        <f t="shared" si="123"/>
        <v>79963.419999999925</v>
      </c>
    </row>
    <row r="257" spans="1:11" ht="38.25">
      <c r="A257" s="89" t="s">
        <v>22</v>
      </c>
      <c r="B257" s="27"/>
      <c r="C257" s="121" t="s">
        <v>64</v>
      </c>
      <c r="D257" s="153">
        <f t="shared" ref="D257:I257" si="144">D227+D49</f>
        <v>95870</v>
      </c>
      <c r="E257" s="153">
        <f t="shared" si="144"/>
        <v>82870</v>
      </c>
      <c r="F257" s="153">
        <f t="shared" si="144"/>
        <v>0</v>
      </c>
      <c r="G257" s="153">
        <f t="shared" si="144"/>
        <v>0</v>
      </c>
      <c r="H257" s="153">
        <f t="shared" si="144"/>
        <v>0</v>
      </c>
      <c r="I257" s="153">
        <f t="shared" si="144"/>
        <v>0</v>
      </c>
      <c r="J257" s="153">
        <f t="shared" ref="J257" si="145">D257-I257</f>
        <v>95870</v>
      </c>
      <c r="K257" s="153">
        <f t="shared" ref="K257" si="146">E257-I257</f>
        <v>82870</v>
      </c>
    </row>
    <row r="258" spans="1:11" ht="39" customHeight="1">
      <c r="A258" s="89" t="s">
        <v>23</v>
      </c>
      <c r="B258" s="27"/>
      <c r="C258" s="121" t="s">
        <v>65</v>
      </c>
      <c r="D258" s="153">
        <f t="shared" ref="D258:H260" si="147">D228+D112+D50</f>
        <v>39000</v>
      </c>
      <c r="E258" s="153">
        <f t="shared" si="147"/>
        <v>8875</v>
      </c>
      <c r="F258" s="153">
        <f t="shared" si="147"/>
        <v>0</v>
      </c>
      <c r="G258" s="153">
        <f t="shared" si="147"/>
        <v>0</v>
      </c>
      <c r="H258" s="153">
        <f t="shared" si="147"/>
        <v>0</v>
      </c>
      <c r="I258" s="153">
        <f t="shared" si="121"/>
        <v>0</v>
      </c>
      <c r="J258" s="153">
        <f t="shared" si="122"/>
        <v>39000</v>
      </c>
      <c r="K258" s="153">
        <f t="shared" si="123"/>
        <v>8875</v>
      </c>
    </row>
    <row r="259" spans="1:11" ht="21.75" customHeight="1">
      <c r="A259" s="89" t="s">
        <v>13</v>
      </c>
      <c r="B259" s="27"/>
      <c r="C259" s="121" t="s">
        <v>479</v>
      </c>
      <c r="D259" s="153">
        <f t="shared" si="147"/>
        <v>31300</v>
      </c>
      <c r="E259" s="153">
        <f t="shared" si="147"/>
        <v>7050</v>
      </c>
      <c r="F259" s="153">
        <f t="shared" si="147"/>
        <v>0</v>
      </c>
      <c r="G259" s="153">
        <f t="shared" si="147"/>
        <v>0</v>
      </c>
      <c r="H259" s="153">
        <f t="shared" si="147"/>
        <v>0</v>
      </c>
      <c r="I259" s="153">
        <f t="shared" si="121"/>
        <v>0</v>
      </c>
      <c r="J259" s="153">
        <f t="shared" si="122"/>
        <v>31300</v>
      </c>
      <c r="K259" s="153">
        <f t="shared" si="123"/>
        <v>7050</v>
      </c>
    </row>
    <row r="260" spans="1:11" ht="20.25" customHeight="1">
      <c r="A260" s="89" t="s">
        <v>16</v>
      </c>
      <c r="B260" s="27"/>
      <c r="C260" s="121" t="s">
        <v>480</v>
      </c>
      <c r="D260" s="153">
        <f t="shared" si="147"/>
        <v>28600</v>
      </c>
      <c r="E260" s="153">
        <f t="shared" si="147"/>
        <v>6100</v>
      </c>
      <c r="F260" s="153">
        <f t="shared" si="147"/>
        <v>825</v>
      </c>
      <c r="G260" s="153">
        <f t="shared" si="147"/>
        <v>0</v>
      </c>
      <c r="H260" s="153">
        <f t="shared" si="147"/>
        <v>0</v>
      </c>
      <c r="I260" s="153">
        <f t="shared" si="121"/>
        <v>825</v>
      </c>
      <c r="J260" s="153">
        <f t="shared" si="122"/>
        <v>27775</v>
      </c>
      <c r="K260" s="153">
        <f t="shared" si="123"/>
        <v>5275</v>
      </c>
    </row>
    <row r="261" spans="1:11" s="74" customFormat="1" ht="15">
      <c r="A261" s="101" t="s">
        <v>80</v>
      </c>
      <c r="B261" s="73"/>
      <c r="C261" s="123"/>
      <c r="D261" s="155">
        <f t="shared" ref="D261:H261" si="148">SUM(D257:D260)</f>
        <v>194770</v>
      </c>
      <c r="E261" s="155">
        <f>SUM(E257:E260)</f>
        <v>104895</v>
      </c>
      <c r="F261" s="155">
        <f t="shared" ref="F261" si="149">SUM(F257:F260)</f>
        <v>825</v>
      </c>
      <c r="G261" s="155">
        <f t="shared" si="148"/>
        <v>0</v>
      </c>
      <c r="H261" s="155">
        <f t="shared" si="148"/>
        <v>0</v>
      </c>
      <c r="I261" s="153">
        <f t="shared" si="121"/>
        <v>825</v>
      </c>
      <c r="J261" s="156">
        <f t="shared" si="122"/>
        <v>193945</v>
      </c>
      <c r="K261" s="156">
        <f t="shared" si="123"/>
        <v>104070</v>
      </c>
    </row>
    <row r="262" spans="1:11" ht="25.5">
      <c r="A262" s="79" t="s">
        <v>98</v>
      </c>
      <c r="B262" s="27"/>
      <c r="C262" s="121" t="s">
        <v>66</v>
      </c>
      <c r="D262" s="153">
        <f t="shared" ref="D262:H263" si="150">D232+D116+D78+D54+D19</f>
        <v>654722</v>
      </c>
      <c r="E262" s="153">
        <f t="shared" si="150"/>
        <v>169774</v>
      </c>
      <c r="F262" s="153">
        <f t="shared" si="150"/>
        <v>152296.9</v>
      </c>
      <c r="G262" s="153">
        <f t="shared" si="150"/>
        <v>0</v>
      </c>
      <c r="H262" s="153">
        <f t="shared" si="150"/>
        <v>0</v>
      </c>
      <c r="I262" s="153">
        <f t="shared" si="121"/>
        <v>152296.9</v>
      </c>
      <c r="J262" s="153">
        <f t="shared" si="122"/>
        <v>502425.1</v>
      </c>
      <c r="K262" s="153">
        <f t="shared" si="123"/>
        <v>17477.100000000006</v>
      </c>
    </row>
    <row r="263" spans="1:11" ht="15">
      <c r="A263" s="79" t="s">
        <v>99</v>
      </c>
      <c r="B263" s="27"/>
      <c r="C263" s="121" t="s">
        <v>67</v>
      </c>
      <c r="D263" s="153">
        <f t="shared" si="150"/>
        <v>244036</v>
      </c>
      <c r="E263" s="153">
        <f t="shared" si="150"/>
        <v>63280</v>
      </c>
      <c r="F263" s="153">
        <f t="shared" si="150"/>
        <v>53366.06</v>
      </c>
      <c r="G263" s="153">
        <f t="shared" si="150"/>
        <v>0</v>
      </c>
      <c r="H263" s="153">
        <f t="shared" si="150"/>
        <v>0</v>
      </c>
      <c r="I263" s="153">
        <f t="shared" si="121"/>
        <v>53366.06</v>
      </c>
      <c r="J263" s="153">
        <f t="shared" si="122"/>
        <v>190669.94</v>
      </c>
      <c r="K263" s="153">
        <f t="shared" si="123"/>
        <v>9913.9400000000023</v>
      </c>
    </row>
    <row r="264" spans="1:11" s="74" customFormat="1" ht="15">
      <c r="A264" s="101" t="s">
        <v>83</v>
      </c>
      <c r="B264" s="73"/>
      <c r="C264" s="123"/>
      <c r="D264" s="155">
        <f t="shared" ref="D264:H264" si="151">SUM(D262:D263)</f>
        <v>898758</v>
      </c>
      <c r="E264" s="155">
        <f>SUM(E262:E263)</f>
        <v>233054</v>
      </c>
      <c r="F264" s="155">
        <f t="shared" ref="F264" si="152">SUM(F262:F263)</f>
        <v>205662.96</v>
      </c>
      <c r="G264" s="155">
        <f t="shared" si="151"/>
        <v>0</v>
      </c>
      <c r="H264" s="155">
        <f t="shared" si="151"/>
        <v>0</v>
      </c>
      <c r="I264" s="153">
        <f t="shared" si="121"/>
        <v>205662.96</v>
      </c>
      <c r="J264" s="156">
        <f t="shared" si="122"/>
        <v>693095.04</v>
      </c>
      <c r="K264" s="156">
        <f t="shared" si="123"/>
        <v>27391.040000000008</v>
      </c>
    </row>
    <row r="265" spans="1:11" s="74" customFormat="1" ht="15">
      <c r="A265" s="101"/>
      <c r="B265" s="73"/>
      <c r="C265" s="123"/>
      <c r="D265" s="155">
        <f>D266+D267+D271+D273+D274</f>
        <v>2691931.66</v>
      </c>
      <c r="E265" s="155">
        <f>E266+E267+E271+E273+E274</f>
        <v>1053023.6600000001</v>
      </c>
      <c r="F265" s="155">
        <f t="shared" ref="F265" si="153">F266+F267+F271+F273+F274</f>
        <v>429613.54000000004</v>
      </c>
      <c r="G265" s="155">
        <f t="shared" ref="G265:H265" si="154">G266+G267+G271+G273+G274</f>
        <v>0</v>
      </c>
      <c r="H265" s="155">
        <f t="shared" si="154"/>
        <v>0</v>
      </c>
      <c r="I265" s="153">
        <f t="shared" si="121"/>
        <v>429613.54000000004</v>
      </c>
      <c r="J265" s="156">
        <f t="shared" si="122"/>
        <v>2262318.12</v>
      </c>
      <c r="K265" s="156">
        <f t="shared" si="123"/>
        <v>623410.12000000011</v>
      </c>
    </row>
    <row r="266" spans="1:11" ht="15">
      <c r="A266" s="89" t="s">
        <v>12</v>
      </c>
      <c r="B266" s="27"/>
      <c r="C266" s="121" t="s">
        <v>162</v>
      </c>
      <c r="D266" s="153">
        <f>D236+D59</f>
        <v>49094.26</v>
      </c>
      <c r="E266" s="153">
        <f>E236+E59</f>
        <v>14614.26</v>
      </c>
      <c r="F266" s="153">
        <f>F236+F59</f>
        <v>7420.74</v>
      </c>
      <c r="G266" s="153">
        <f>G236+G59</f>
        <v>0</v>
      </c>
      <c r="H266" s="153">
        <f>H236+H59</f>
        <v>0</v>
      </c>
      <c r="I266" s="153">
        <f t="shared" si="121"/>
        <v>7420.74</v>
      </c>
      <c r="J266" s="153">
        <f t="shared" si="122"/>
        <v>41673.520000000004</v>
      </c>
      <c r="K266" s="153">
        <f t="shared" si="123"/>
        <v>7193.52</v>
      </c>
    </row>
    <row r="267" spans="1:11" ht="15" hidden="1">
      <c r="A267" s="89" t="s">
        <v>13</v>
      </c>
      <c r="B267" s="27"/>
      <c r="C267" s="121" t="s">
        <v>68</v>
      </c>
      <c r="D267" s="153"/>
      <c r="E267" s="153"/>
      <c r="F267" s="153"/>
      <c r="G267" s="153"/>
      <c r="H267" s="153"/>
      <c r="I267" s="153">
        <f t="shared" si="121"/>
        <v>0</v>
      </c>
      <c r="J267" s="153">
        <f t="shared" si="122"/>
        <v>0</v>
      </c>
      <c r="K267" s="153">
        <f t="shared" si="123"/>
        <v>0</v>
      </c>
    </row>
    <row r="268" spans="1:11" ht="25.5">
      <c r="A268" s="89" t="s">
        <v>28</v>
      </c>
      <c r="B268" s="27"/>
      <c r="C268" s="121" t="s">
        <v>69</v>
      </c>
      <c r="D268" s="153">
        <f>D61</f>
        <v>1317215</v>
      </c>
      <c r="E268" s="153">
        <f>E61</f>
        <v>708183</v>
      </c>
      <c r="F268" s="153">
        <f t="shared" ref="F268" si="155">F61</f>
        <v>236484.64</v>
      </c>
      <c r="G268" s="153">
        <f>G61</f>
        <v>0</v>
      </c>
      <c r="H268" s="153">
        <f>H61</f>
        <v>0</v>
      </c>
      <c r="I268" s="153">
        <f t="shared" si="121"/>
        <v>236484.64</v>
      </c>
      <c r="J268" s="153">
        <f t="shared" si="122"/>
        <v>1080730.3599999999</v>
      </c>
      <c r="K268" s="153">
        <f t="shared" si="123"/>
        <v>471698.36</v>
      </c>
    </row>
    <row r="269" spans="1:11" ht="15">
      <c r="A269" s="89" t="s">
        <v>24</v>
      </c>
      <c r="B269" s="27"/>
      <c r="C269" s="121" t="s">
        <v>70</v>
      </c>
      <c r="D269" s="153">
        <f>D62+D157</f>
        <v>516098.3</v>
      </c>
      <c r="E269" s="153">
        <f>E62+E157</f>
        <v>186990.3</v>
      </c>
      <c r="F269" s="153">
        <f>F62+F157</f>
        <v>135431.88999999998</v>
      </c>
      <c r="G269" s="153">
        <f>G62+G157</f>
        <v>0</v>
      </c>
      <c r="H269" s="153">
        <f>H62+H157</f>
        <v>0</v>
      </c>
      <c r="I269" s="153">
        <f t="shared" si="121"/>
        <v>135431.88999999998</v>
      </c>
      <c r="J269" s="153">
        <f t="shared" si="122"/>
        <v>380666.41000000003</v>
      </c>
      <c r="K269" s="153">
        <f t="shared" si="123"/>
        <v>51558.41</v>
      </c>
    </row>
    <row r="270" spans="1:11" ht="15">
      <c r="A270" s="89" t="s">
        <v>25</v>
      </c>
      <c r="B270" s="27"/>
      <c r="C270" s="121" t="s">
        <v>71</v>
      </c>
      <c r="D270" s="153">
        <f>D63</f>
        <v>17556.099999999999</v>
      </c>
      <c r="E270" s="153">
        <f>E63</f>
        <v>5923.1</v>
      </c>
      <c r="F270" s="153">
        <f t="shared" ref="F270" si="156">F63</f>
        <v>3845.08</v>
      </c>
      <c r="G270" s="153">
        <f>G63</f>
        <v>0</v>
      </c>
      <c r="H270" s="153">
        <f>H63</f>
        <v>0</v>
      </c>
      <c r="I270" s="153">
        <f t="shared" si="121"/>
        <v>3845.08</v>
      </c>
      <c r="J270" s="153">
        <f t="shared" si="122"/>
        <v>13711.019999999999</v>
      </c>
      <c r="K270" s="153">
        <f t="shared" si="123"/>
        <v>2078.0200000000004</v>
      </c>
    </row>
    <row r="271" spans="1:11" s="74" customFormat="1" ht="15">
      <c r="A271" s="101" t="s">
        <v>81</v>
      </c>
      <c r="B271" s="73"/>
      <c r="C271" s="123"/>
      <c r="D271" s="155">
        <f t="shared" ref="D271" si="157">SUM(D268:D270)</f>
        <v>1850869.4000000001</v>
      </c>
      <c r="E271" s="155">
        <f>SUM(E268:E270)</f>
        <v>901096.4</v>
      </c>
      <c r="F271" s="155">
        <f>SUM(F268:F270)</f>
        <v>375761.61000000004</v>
      </c>
      <c r="G271" s="155">
        <f>SUM(G268:G270)</f>
        <v>0</v>
      </c>
      <c r="H271" s="155">
        <f>SUM(H268:H270)</f>
        <v>0</v>
      </c>
      <c r="I271" s="156">
        <f t="shared" si="121"/>
        <v>375761.61000000004</v>
      </c>
      <c r="J271" s="156">
        <f t="shared" si="122"/>
        <v>1475107.79</v>
      </c>
      <c r="K271" s="156">
        <f t="shared" si="123"/>
        <v>525334.79</v>
      </c>
    </row>
    <row r="272" spans="1:11" s="103" customFormat="1" ht="12.75" hidden="1" customHeight="1">
      <c r="A272" s="89" t="s">
        <v>16</v>
      </c>
      <c r="B272" s="102"/>
      <c r="C272" s="121" t="s">
        <v>101</v>
      </c>
      <c r="D272" s="153"/>
      <c r="E272" s="153"/>
      <c r="F272" s="153"/>
      <c r="G272" s="153"/>
      <c r="H272" s="153"/>
      <c r="I272" s="153">
        <f t="shared" si="121"/>
        <v>0</v>
      </c>
      <c r="J272" s="153">
        <f t="shared" si="122"/>
        <v>0</v>
      </c>
      <c r="K272" s="153">
        <f t="shared" si="123"/>
        <v>0</v>
      </c>
    </row>
    <row r="273" spans="1:11" ht="15">
      <c r="A273" s="89" t="s">
        <v>15</v>
      </c>
      <c r="B273" s="27"/>
      <c r="C273" s="121" t="s">
        <v>72</v>
      </c>
      <c r="D273" s="153">
        <f t="shared" ref="D273:I273" si="158">D145+D121+D65+D237+D147+D143</f>
        <v>391024</v>
      </c>
      <c r="E273" s="153">
        <f t="shared" si="158"/>
        <v>67582</v>
      </c>
      <c r="F273" s="153">
        <f t="shared" si="158"/>
        <v>11800</v>
      </c>
      <c r="G273" s="153">
        <f t="shared" si="158"/>
        <v>0</v>
      </c>
      <c r="H273" s="153">
        <f t="shared" si="158"/>
        <v>0</v>
      </c>
      <c r="I273" s="153">
        <f t="shared" si="158"/>
        <v>11800</v>
      </c>
      <c r="J273" s="153">
        <f t="shared" si="122"/>
        <v>379224</v>
      </c>
      <c r="K273" s="153">
        <f t="shared" si="123"/>
        <v>55782</v>
      </c>
    </row>
    <row r="274" spans="1:11" ht="15">
      <c r="A274" s="89" t="s">
        <v>16</v>
      </c>
      <c r="B274" s="27"/>
      <c r="C274" s="121" t="s">
        <v>161</v>
      </c>
      <c r="D274" s="153">
        <f t="shared" ref="D274:I274" si="159">D238+D159+D158+D123+D66+D133+D146+D148+D144</f>
        <v>400944</v>
      </c>
      <c r="E274" s="153">
        <f t="shared" si="159"/>
        <v>69731</v>
      </c>
      <c r="F274" s="153">
        <f t="shared" si="159"/>
        <v>34631.19</v>
      </c>
      <c r="G274" s="153">
        <f t="shared" si="159"/>
        <v>0</v>
      </c>
      <c r="H274" s="153">
        <f t="shared" si="159"/>
        <v>0</v>
      </c>
      <c r="I274" s="153">
        <f t="shared" si="159"/>
        <v>34631.19</v>
      </c>
      <c r="J274" s="153">
        <f t="shared" si="122"/>
        <v>366312.81</v>
      </c>
      <c r="K274" s="153">
        <f t="shared" si="123"/>
        <v>35099.81</v>
      </c>
    </row>
    <row r="275" spans="1:11" ht="25.5">
      <c r="A275" s="70" t="s">
        <v>19</v>
      </c>
      <c r="B275" s="27"/>
      <c r="C275" s="121" t="s">
        <v>77</v>
      </c>
      <c r="D275" s="153">
        <f>D87</f>
        <v>5402</v>
      </c>
      <c r="E275" s="153">
        <f t="shared" ref="E275:H275" si="160">E87</f>
        <v>0</v>
      </c>
      <c r="F275" s="153">
        <f t="shared" si="160"/>
        <v>0</v>
      </c>
      <c r="G275" s="153">
        <f t="shared" si="160"/>
        <v>0</v>
      </c>
      <c r="H275" s="153">
        <f t="shared" si="160"/>
        <v>0</v>
      </c>
      <c r="I275" s="153">
        <f t="shared" ref="I275:I283" si="161">F275+G275+H275</f>
        <v>0</v>
      </c>
      <c r="J275" s="153">
        <f t="shared" ref="J275:J283" si="162">D275-I275</f>
        <v>5402</v>
      </c>
      <c r="K275" s="153">
        <f t="shared" ref="K275:K283" si="163">E275-I275</f>
        <v>0</v>
      </c>
    </row>
    <row r="276" spans="1:11" ht="15">
      <c r="A276" s="89" t="s">
        <v>17</v>
      </c>
      <c r="B276" s="27"/>
      <c r="C276" s="121" t="s">
        <v>73</v>
      </c>
      <c r="D276" s="153">
        <f>D101+D89+D74+D67+D73</f>
        <v>83781.429999999993</v>
      </c>
      <c r="E276" s="153">
        <f t="shared" ref="E276" si="164">E101+E89+E74+E67+E73</f>
        <v>6305.43</v>
      </c>
      <c r="F276" s="153">
        <f>F101+F89+F74+F67+F73</f>
        <v>4017.9300000000003</v>
      </c>
      <c r="G276" s="153">
        <f>G101+G89+G74+G67</f>
        <v>0</v>
      </c>
      <c r="H276" s="153">
        <f>H101+H89+H74+H67</f>
        <v>0</v>
      </c>
      <c r="I276" s="153">
        <f t="shared" si="161"/>
        <v>4017.9300000000003</v>
      </c>
      <c r="J276" s="153">
        <f t="shared" si="162"/>
        <v>79763.5</v>
      </c>
      <c r="K276" s="153">
        <f t="shared" si="163"/>
        <v>2287.5</v>
      </c>
    </row>
    <row r="277" spans="1:11" ht="15">
      <c r="A277" s="89" t="s">
        <v>18</v>
      </c>
      <c r="B277" s="27"/>
      <c r="C277" s="121" t="s">
        <v>74</v>
      </c>
      <c r="D277" s="153">
        <f>D125</f>
        <v>7241</v>
      </c>
      <c r="E277" s="153">
        <f t="shared" ref="E277:H277" si="165">E125</f>
        <v>0</v>
      </c>
      <c r="F277" s="153">
        <f t="shared" si="165"/>
        <v>0</v>
      </c>
      <c r="G277" s="153">
        <f t="shared" si="165"/>
        <v>0</v>
      </c>
      <c r="H277" s="153">
        <f t="shared" si="165"/>
        <v>0</v>
      </c>
      <c r="I277" s="153">
        <f t="shared" si="161"/>
        <v>0</v>
      </c>
      <c r="J277" s="153">
        <f t="shared" si="162"/>
        <v>7241</v>
      </c>
      <c r="K277" s="153">
        <f t="shared" si="163"/>
        <v>0</v>
      </c>
    </row>
    <row r="278" spans="1:11" ht="25.5">
      <c r="A278" s="89" t="s">
        <v>27</v>
      </c>
      <c r="B278" s="27"/>
      <c r="C278" s="121" t="s">
        <v>75</v>
      </c>
      <c r="D278" s="153">
        <f>D70</f>
        <v>160937</v>
      </c>
      <c r="E278" s="153">
        <f>E70</f>
        <v>42490</v>
      </c>
      <c r="F278" s="153">
        <f t="shared" ref="F278" si="166">F70</f>
        <v>2950</v>
      </c>
      <c r="G278" s="153">
        <f>G70</f>
        <v>0</v>
      </c>
      <c r="H278" s="153">
        <f>H70</f>
        <v>0</v>
      </c>
      <c r="I278" s="153">
        <f t="shared" si="161"/>
        <v>2950</v>
      </c>
      <c r="J278" s="153">
        <f t="shared" si="162"/>
        <v>157987</v>
      </c>
      <c r="K278" s="153">
        <f t="shared" si="163"/>
        <v>39540</v>
      </c>
    </row>
    <row r="279" spans="1:11" ht="25.5">
      <c r="A279" s="104" t="s">
        <v>26</v>
      </c>
      <c r="B279" s="27"/>
      <c r="C279" s="121" t="s">
        <v>76</v>
      </c>
      <c r="D279" s="153">
        <f t="shared" ref="D279:I279" si="167">D239+D126+D105+D71+D160</f>
        <v>158980.39000000001</v>
      </c>
      <c r="E279" s="153">
        <f t="shared" si="167"/>
        <v>85330.39</v>
      </c>
      <c r="F279" s="153">
        <f t="shared" si="167"/>
        <v>24268</v>
      </c>
      <c r="G279" s="153">
        <f t="shared" si="167"/>
        <v>0</v>
      </c>
      <c r="H279" s="153">
        <f t="shared" si="167"/>
        <v>0</v>
      </c>
      <c r="I279" s="153">
        <f t="shared" si="167"/>
        <v>24268</v>
      </c>
      <c r="J279" s="153">
        <f t="shared" si="162"/>
        <v>134712.39000000001</v>
      </c>
      <c r="K279" s="153">
        <f t="shared" si="163"/>
        <v>61062.39</v>
      </c>
    </row>
    <row r="280" spans="1:11" s="74" customFormat="1" ht="15">
      <c r="A280" s="101" t="s">
        <v>82</v>
      </c>
      <c r="B280" s="73"/>
      <c r="C280" s="123"/>
      <c r="D280" s="155">
        <f>SUM(D278:D279)</f>
        <v>319917.39</v>
      </c>
      <c r="E280" s="155">
        <f>SUM(E278:E279)</f>
        <v>127820.39</v>
      </c>
      <c r="F280" s="155">
        <f t="shared" ref="F280" si="168">SUM(F278:F279)</f>
        <v>27218</v>
      </c>
      <c r="G280" s="155">
        <f t="shared" ref="G280:H280" si="169">SUM(G278:G279)</f>
        <v>0</v>
      </c>
      <c r="H280" s="155">
        <f t="shared" si="169"/>
        <v>0</v>
      </c>
      <c r="I280" s="156">
        <f t="shared" si="161"/>
        <v>27218</v>
      </c>
      <c r="J280" s="156">
        <f t="shared" si="162"/>
        <v>292699.39</v>
      </c>
      <c r="K280" s="156">
        <f t="shared" si="163"/>
        <v>100602.39</v>
      </c>
    </row>
    <row r="281" spans="1:11" s="106" customFormat="1" ht="29.25" customHeight="1">
      <c r="A281" s="163" t="s">
        <v>486</v>
      </c>
      <c r="B281" s="85"/>
      <c r="C281" s="122" t="s">
        <v>100</v>
      </c>
      <c r="D281" s="156">
        <f>D241+D163</f>
        <v>2899627</v>
      </c>
      <c r="E281" s="156">
        <f>E241+E163</f>
        <v>778860</v>
      </c>
      <c r="F281" s="156">
        <f>F241+F163</f>
        <v>612881.64000000013</v>
      </c>
      <c r="G281" s="156">
        <f>G241+G163</f>
        <v>0</v>
      </c>
      <c r="H281" s="156">
        <f>H241+H163</f>
        <v>0</v>
      </c>
      <c r="I281" s="156">
        <f t="shared" si="161"/>
        <v>612881.64000000013</v>
      </c>
      <c r="J281" s="156">
        <f t="shared" si="162"/>
        <v>2286745.36</v>
      </c>
      <c r="K281" s="156">
        <f t="shared" si="163"/>
        <v>165978.35999999987</v>
      </c>
    </row>
    <row r="282" spans="1:11" s="106" customFormat="1" ht="25.5">
      <c r="A282" s="163" t="s">
        <v>487</v>
      </c>
      <c r="B282" s="85"/>
      <c r="C282" s="122" t="s">
        <v>332</v>
      </c>
      <c r="D282" s="156">
        <f>D153</f>
        <v>9000</v>
      </c>
      <c r="E282" s="156">
        <f t="shared" ref="E282:H282" si="170">E153</f>
        <v>0</v>
      </c>
      <c r="F282" s="156">
        <f t="shared" ref="F282" si="171">F153</f>
        <v>0</v>
      </c>
      <c r="G282" s="156">
        <f t="shared" si="170"/>
        <v>0</v>
      </c>
      <c r="H282" s="156">
        <f t="shared" si="170"/>
        <v>0</v>
      </c>
      <c r="I282" s="156">
        <f t="shared" si="161"/>
        <v>0</v>
      </c>
      <c r="J282" s="156">
        <f t="shared" si="162"/>
        <v>9000</v>
      </c>
      <c r="K282" s="156">
        <f t="shared" si="163"/>
        <v>0</v>
      </c>
    </row>
    <row r="283" spans="1:11" s="106" customFormat="1" ht="18.75" customHeight="1">
      <c r="A283" s="105" t="s">
        <v>20</v>
      </c>
      <c r="B283" s="85"/>
      <c r="C283" s="122"/>
      <c r="D283" s="156">
        <f>D256+D261+D264+D265+D275+D276+D277+D280+D281+D282</f>
        <v>10086448.48</v>
      </c>
      <c r="E283" s="156">
        <f>E256+E261+E264+E265+E275+E276+E277+E280+E281+E282</f>
        <v>3075664.4800000004</v>
      </c>
      <c r="F283" s="156">
        <f t="shared" ref="F283" si="172">F256+F261+F264+F265+F275+F276+F277+F280+F281+F282</f>
        <v>1971961.6500000001</v>
      </c>
      <c r="G283" s="156">
        <f t="shared" ref="G283:H283" si="173">G256+G261+G264+G265+G275+G276+G277+G280+G281+G282</f>
        <v>0</v>
      </c>
      <c r="H283" s="156">
        <f t="shared" si="173"/>
        <v>0</v>
      </c>
      <c r="I283" s="156">
        <f t="shared" si="161"/>
        <v>1971961.6500000001</v>
      </c>
      <c r="J283" s="156">
        <f t="shared" si="162"/>
        <v>8114486.8300000001</v>
      </c>
      <c r="K283" s="156">
        <f t="shared" si="163"/>
        <v>1103702.8300000003</v>
      </c>
    </row>
    <row r="284" spans="1:11" ht="25.5">
      <c r="A284" s="70" t="s">
        <v>354</v>
      </c>
      <c r="B284" s="27">
        <v>450</v>
      </c>
      <c r="C284" s="121" t="s">
        <v>42</v>
      </c>
      <c r="D284" s="153" t="s">
        <v>42</v>
      </c>
      <c r="E284" s="153" t="s">
        <v>42</v>
      </c>
      <c r="F284" s="153">
        <f>доходы!E18-'Расходы бюджета'!F283</f>
        <v>-363428.88000000012</v>
      </c>
      <c r="G284" s="153">
        <v>0</v>
      </c>
      <c r="H284" s="153">
        <v>0</v>
      </c>
      <c r="I284" s="153">
        <f>доходы!H18-'Расходы бюджета'!I283</f>
        <v>-363428.88000000012</v>
      </c>
      <c r="J284" s="153" t="s">
        <v>42</v>
      </c>
      <c r="K284" s="153" t="s">
        <v>42</v>
      </c>
    </row>
  </sheetData>
  <mergeCells count="7">
    <mergeCell ref="E10:E11"/>
    <mergeCell ref="J10:K10"/>
    <mergeCell ref="A10:A11"/>
    <mergeCell ref="B10:B11"/>
    <mergeCell ref="C10:C11"/>
    <mergeCell ref="D10:D11"/>
    <mergeCell ref="F10:I10"/>
  </mergeCells>
  <phoneticPr fontId="0" type="noConversion"/>
  <pageMargins left="0.39370078740157483" right="0" top="0.39370078740157483" bottom="0.39370078740157483" header="0.19685039370078741" footer="0"/>
  <pageSetup paperSize="9" scale="55" fitToHeight="0" orientation="portrait" r:id="rId1"/>
  <headerFooter alignWithMargins="0">
    <oddFooter>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topLeftCell="A23" zoomScaleSheetLayoutView="100" workbookViewId="0">
      <selection activeCell="C20" sqref="C20"/>
    </sheetView>
  </sheetViews>
  <sheetFormatPr defaultRowHeight="12.75"/>
  <cols>
    <col min="1" max="1" width="32.85546875" style="2" customWidth="1"/>
    <col min="2" max="2" width="6.5703125" style="3" customWidth="1"/>
    <col min="3" max="3" width="25.7109375" style="1" customWidth="1"/>
    <col min="4" max="4" width="15" style="4" customWidth="1"/>
    <col min="5" max="5" width="14.28515625" style="4" customWidth="1"/>
    <col min="6" max="6" width="11" style="4" customWidth="1"/>
    <col min="7" max="7" width="9.140625" style="4"/>
    <col min="8" max="8" width="13" style="4" customWidth="1"/>
    <col min="9" max="9" width="16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171</v>
      </c>
    </row>
    <row r="9" spans="1:11" s="6" customFormat="1">
      <c r="A9" s="188" t="s">
        <v>31</v>
      </c>
      <c r="B9" s="188"/>
      <c r="C9" s="188"/>
      <c r="D9" s="188"/>
      <c r="E9" s="188"/>
      <c r="F9" s="188"/>
      <c r="G9" s="189"/>
      <c r="H9" s="189"/>
      <c r="I9" s="20"/>
    </row>
    <row r="10" spans="1:11" s="5" customFormat="1">
      <c r="A10" s="190" t="s">
        <v>32</v>
      </c>
      <c r="B10" s="192" t="s">
        <v>33</v>
      </c>
      <c r="C10" s="190" t="s">
        <v>363</v>
      </c>
      <c r="D10" s="194" t="s">
        <v>34</v>
      </c>
      <c r="E10" s="187" t="s">
        <v>5</v>
      </c>
      <c r="F10" s="187"/>
      <c r="G10" s="187"/>
      <c r="H10" s="187"/>
      <c r="I10" s="187" t="s">
        <v>6</v>
      </c>
    </row>
    <row r="11" spans="1:11" s="8" customFormat="1" ht="46.5" customHeight="1">
      <c r="A11" s="191"/>
      <c r="B11" s="193"/>
      <c r="C11" s="191"/>
      <c r="D11" s="195"/>
      <c r="E11" s="117" t="s">
        <v>35</v>
      </c>
      <c r="F11" s="117" t="s">
        <v>36</v>
      </c>
      <c r="G11" s="117" t="s">
        <v>37</v>
      </c>
      <c r="H11" s="117" t="s">
        <v>38</v>
      </c>
      <c r="I11" s="187"/>
    </row>
    <row r="12" spans="1:11" s="8" customFormat="1" ht="11.25">
      <c r="A12" s="17" t="s">
        <v>39</v>
      </c>
      <c r="B12" s="18">
        <v>2</v>
      </c>
      <c r="C12" s="18" t="s">
        <v>40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11" s="8" customFormat="1" ht="33.75" customHeight="1">
      <c r="A13" s="141" t="s">
        <v>41</v>
      </c>
      <c r="B13" s="140">
        <v>500</v>
      </c>
      <c r="C13" s="11"/>
      <c r="D13" s="142">
        <f>D23-D24</f>
        <v>-444264.48000000045</v>
      </c>
      <c r="E13" s="142">
        <f>(E23)+E24</f>
        <v>363428.88000000012</v>
      </c>
      <c r="F13" s="143">
        <v>0</v>
      </c>
      <c r="G13" s="143">
        <v>0</v>
      </c>
      <c r="H13" s="142">
        <f>E13</f>
        <v>363428.88000000012</v>
      </c>
      <c r="I13" s="143">
        <f>D13+E13</f>
        <v>-80835.600000000326</v>
      </c>
    </row>
    <row r="14" spans="1:11">
      <c r="A14" s="13" t="s">
        <v>44</v>
      </c>
      <c r="B14" s="10"/>
      <c r="C14" s="11"/>
      <c r="D14" s="19"/>
      <c r="E14" s="12"/>
      <c r="F14" s="12"/>
      <c r="G14" s="12"/>
      <c r="H14" s="12"/>
      <c r="I14" s="12"/>
      <c r="J14" s="21"/>
    </row>
    <row r="15" spans="1:11" ht="22.5">
      <c r="A15" s="13" t="s">
        <v>45</v>
      </c>
      <c r="B15" s="10">
        <v>520</v>
      </c>
      <c r="C15" s="11" t="s">
        <v>42</v>
      </c>
      <c r="D15" s="19" t="s">
        <v>43</v>
      </c>
      <c r="E15" s="12"/>
      <c r="F15" s="12">
        <v>0</v>
      </c>
      <c r="G15" s="12">
        <v>0</v>
      </c>
      <c r="H15" s="12"/>
      <c r="I15" s="12">
        <v>0</v>
      </c>
      <c r="J15" s="22"/>
      <c r="K15" s="23"/>
    </row>
    <row r="16" spans="1:11">
      <c r="A16" s="13" t="s">
        <v>46</v>
      </c>
      <c r="B16" s="10"/>
      <c r="C16" s="11"/>
      <c r="D16" s="19"/>
      <c r="E16" s="12"/>
      <c r="F16" s="12"/>
      <c r="G16" s="12"/>
      <c r="H16" s="12"/>
      <c r="I16" s="12"/>
      <c r="J16" s="21"/>
    </row>
    <row r="17" spans="1:10" ht="22.5">
      <c r="A17" s="13" t="s">
        <v>47</v>
      </c>
      <c r="B17" s="10">
        <v>620</v>
      </c>
      <c r="C17" s="11" t="s">
        <v>42</v>
      </c>
      <c r="D17" s="19" t="s">
        <v>43</v>
      </c>
      <c r="E17" s="12"/>
      <c r="F17" s="12">
        <v>0</v>
      </c>
      <c r="G17" s="12">
        <v>0</v>
      </c>
      <c r="H17" s="12"/>
      <c r="I17" s="12">
        <v>0</v>
      </c>
      <c r="J17" s="24"/>
    </row>
    <row r="18" spans="1:10">
      <c r="A18" s="13" t="s">
        <v>48</v>
      </c>
      <c r="B18" s="10"/>
      <c r="C18" s="11"/>
      <c r="D18" s="19"/>
      <c r="E18" s="12"/>
      <c r="F18" s="12"/>
      <c r="G18" s="12"/>
      <c r="H18" s="12"/>
      <c r="I18" s="12"/>
    </row>
    <row r="19" spans="1:10">
      <c r="A19" s="13" t="s">
        <v>49</v>
      </c>
      <c r="B19" s="10">
        <v>700</v>
      </c>
      <c r="C19" s="11"/>
      <c r="D19" s="19" t="s">
        <v>43</v>
      </c>
      <c r="E19" s="12"/>
      <c r="F19" s="12">
        <v>0</v>
      </c>
      <c r="G19" s="12">
        <v>0</v>
      </c>
      <c r="H19" s="12"/>
      <c r="I19" s="12" t="s">
        <v>42</v>
      </c>
    </row>
    <row r="20" spans="1:10" ht="22.5">
      <c r="A20" s="13" t="s">
        <v>50</v>
      </c>
      <c r="B20" s="10">
        <v>800</v>
      </c>
      <c r="C20" s="11" t="s">
        <v>42</v>
      </c>
      <c r="D20" s="19" t="s">
        <v>42</v>
      </c>
      <c r="E20" s="12"/>
      <c r="F20" s="12">
        <v>0</v>
      </c>
      <c r="G20" s="12">
        <v>0</v>
      </c>
      <c r="H20" s="12"/>
      <c r="I20" s="12" t="s">
        <v>42</v>
      </c>
    </row>
    <row r="21" spans="1:10" ht="45">
      <c r="A21" s="13" t="s">
        <v>51</v>
      </c>
      <c r="B21" s="10">
        <v>810</v>
      </c>
      <c r="C21" s="11" t="s">
        <v>42</v>
      </c>
      <c r="D21" s="19" t="s">
        <v>42</v>
      </c>
      <c r="E21" s="19">
        <f>E23+E24</f>
        <v>363428.88000000012</v>
      </c>
      <c r="F21" s="12">
        <v>0</v>
      </c>
      <c r="G21" s="12" t="s">
        <v>42</v>
      </c>
      <c r="H21" s="19"/>
      <c r="I21" s="12" t="s">
        <v>42</v>
      </c>
    </row>
    <row r="22" spans="1:10">
      <c r="A22" s="13" t="s">
        <v>46</v>
      </c>
      <c r="B22" s="10"/>
      <c r="C22" s="11"/>
      <c r="D22" s="19"/>
      <c r="E22" s="12"/>
      <c r="F22" s="12"/>
      <c r="G22" s="12"/>
      <c r="H22" s="12"/>
      <c r="I22" s="12"/>
    </row>
    <row r="23" spans="1:10" ht="29.25" customHeight="1">
      <c r="A23" s="13" t="s">
        <v>52</v>
      </c>
      <c r="B23" s="10">
        <v>811</v>
      </c>
      <c r="C23" s="11" t="s">
        <v>169</v>
      </c>
      <c r="D23" s="19">
        <f>доходы!D18</f>
        <v>9642184</v>
      </c>
      <c r="E23" s="19">
        <f>-доходы!E18</f>
        <v>-1608532.77</v>
      </c>
      <c r="F23" s="12" t="s">
        <v>42</v>
      </c>
      <c r="G23" s="12" t="s">
        <v>42</v>
      </c>
      <c r="H23" s="19">
        <f>-доходы!H18</f>
        <v>-1608532.77</v>
      </c>
      <c r="I23" s="12" t="s">
        <v>42</v>
      </c>
    </row>
    <row r="24" spans="1:10" ht="22.5">
      <c r="A24" s="13" t="s">
        <v>53</v>
      </c>
      <c r="B24" s="10">
        <v>812</v>
      </c>
      <c r="C24" s="11" t="s">
        <v>170</v>
      </c>
      <c r="D24" s="19">
        <f>'Расходы бюджета'!D283</f>
        <v>10086448.48</v>
      </c>
      <c r="E24" s="19">
        <f>'Расходы бюджета'!I283</f>
        <v>1971961.6500000001</v>
      </c>
      <c r="F24" s="12">
        <v>0</v>
      </c>
      <c r="G24" s="12" t="s">
        <v>42</v>
      </c>
      <c r="H24" s="19"/>
      <c r="I24" s="12" t="s">
        <v>42</v>
      </c>
    </row>
    <row r="25" spans="1:10" ht="22.5">
      <c r="A25" s="13" t="s">
        <v>54</v>
      </c>
      <c r="B25" s="10">
        <v>820</v>
      </c>
      <c r="C25" s="11" t="s">
        <v>42</v>
      </c>
      <c r="D25" s="12" t="s">
        <v>42</v>
      </c>
      <c r="E25" s="12"/>
      <c r="F25" s="12">
        <v>0</v>
      </c>
      <c r="G25" s="12">
        <v>0</v>
      </c>
      <c r="H25" s="12">
        <v>0</v>
      </c>
      <c r="I25" s="12" t="s">
        <v>42</v>
      </c>
    </row>
    <row r="26" spans="1:10">
      <c r="A26" s="13" t="s">
        <v>55</v>
      </c>
      <c r="B26" s="10"/>
      <c r="C26" s="11"/>
      <c r="D26" s="12"/>
      <c r="E26" s="12"/>
      <c r="F26" s="12"/>
      <c r="G26" s="12"/>
      <c r="H26" s="12"/>
      <c r="I26" s="12"/>
    </row>
    <row r="27" spans="1:10" ht="22.5">
      <c r="A27" s="13" t="s">
        <v>56</v>
      </c>
      <c r="B27" s="10">
        <v>821</v>
      </c>
      <c r="C27" s="11" t="s">
        <v>42</v>
      </c>
      <c r="D27" s="12" t="s">
        <v>42</v>
      </c>
      <c r="E27" s="12" t="s">
        <v>42</v>
      </c>
      <c r="F27" s="12">
        <v>0</v>
      </c>
      <c r="G27" s="12">
        <v>0</v>
      </c>
      <c r="H27" s="12">
        <v>0</v>
      </c>
      <c r="I27" s="12" t="s">
        <v>42</v>
      </c>
    </row>
    <row r="28" spans="1:10" ht="22.5">
      <c r="A28" s="13" t="s">
        <v>57</v>
      </c>
      <c r="B28" s="10">
        <v>822</v>
      </c>
      <c r="C28" s="11" t="s">
        <v>42</v>
      </c>
      <c r="D28" s="12" t="s">
        <v>42</v>
      </c>
      <c r="E28" s="12" t="s">
        <v>42</v>
      </c>
      <c r="F28" s="12">
        <v>0</v>
      </c>
      <c r="G28" s="12">
        <v>0</v>
      </c>
      <c r="H28" s="12">
        <v>0</v>
      </c>
      <c r="I28" s="12" t="s">
        <v>42</v>
      </c>
    </row>
    <row r="29" spans="1:10" ht="23.25" customHeight="1"/>
    <row r="30" spans="1:10" ht="15" customHeight="1">
      <c r="A30" s="14" t="s">
        <v>361</v>
      </c>
      <c r="B30" s="15"/>
      <c r="C30" s="138" t="s">
        <v>333</v>
      </c>
      <c r="E30" s="4" t="s">
        <v>355</v>
      </c>
      <c r="G30" s="4" t="s">
        <v>359</v>
      </c>
      <c r="I30" s="4" t="s">
        <v>360</v>
      </c>
    </row>
    <row r="31" spans="1:10" ht="24" customHeight="1">
      <c r="A31" s="139" t="s">
        <v>357</v>
      </c>
      <c r="C31" s="1" t="s">
        <v>358</v>
      </c>
      <c r="E31" s="4" t="s">
        <v>356</v>
      </c>
      <c r="G31" s="4" t="s">
        <v>357</v>
      </c>
      <c r="I31" s="4" t="s">
        <v>358</v>
      </c>
    </row>
    <row r="32" spans="1:10">
      <c r="A32" s="14" t="s">
        <v>362</v>
      </c>
      <c r="B32" s="15"/>
      <c r="C32" s="138" t="s">
        <v>58</v>
      </c>
    </row>
    <row r="33" spans="1:3">
      <c r="A33" s="139" t="s">
        <v>357</v>
      </c>
      <c r="C33" s="1" t="s">
        <v>358</v>
      </c>
    </row>
    <row r="34" spans="1:3">
      <c r="A34" s="14" t="s">
        <v>498</v>
      </c>
      <c r="B34" s="15"/>
      <c r="C34" s="16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.19685039370078741" top="0.39370078740157483" bottom="0.39370078740157483" header="0" footer="0"/>
  <pageSetup paperSize="9" scale="66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Саенко</cp:lastModifiedBy>
  <cp:lastPrinted>2016-04-06T03:18:27Z</cp:lastPrinted>
  <dcterms:created xsi:type="dcterms:W3CDTF">2005-06-23T13:40:44Z</dcterms:created>
  <dcterms:modified xsi:type="dcterms:W3CDTF">2016-04-13T07:36:37Z</dcterms:modified>
</cp:coreProperties>
</file>