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285" yWindow="-285" windowWidth="10995" windowHeight="9165" activeTab="1"/>
  </bookViews>
  <sheets>
    <sheet name="доходы" sheetId="4" r:id="rId1"/>
    <sheet name="Расходы бюджета" sheetId="3" r:id="rId2"/>
    <sheet name="ИФДБ" sheetId="2" r:id="rId3"/>
  </sheets>
  <definedNames>
    <definedName name="FIO" localSheetId="0">доходы!$D$21</definedName>
    <definedName name="_xlnm.Print_Titles" localSheetId="2">ИФДБ!$13:$13</definedName>
    <definedName name="_xlnm.Print_Titles" localSheetId="1">'Расходы бюджета'!$11:$11</definedName>
    <definedName name="_xlnm.Print_Area" localSheetId="1">'Расходы бюджета'!$A$1:$K$301</definedName>
  </definedNames>
  <calcPr calcId="125725"/>
</workbook>
</file>

<file path=xl/calcChain.xml><?xml version="1.0" encoding="utf-8"?>
<calcChain xmlns="http://schemas.openxmlformats.org/spreadsheetml/2006/main">
  <c r="E156" i="3"/>
  <c r="F156"/>
  <c r="G156"/>
  <c r="H156"/>
  <c r="I156"/>
  <c r="D156"/>
  <c r="F118"/>
  <c r="D246"/>
  <c r="D244"/>
  <c r="D243"/>
  <c r="D48"/>
  <c r="D66"/>
  <c r="D254"/>
  <c r="K275"/>
  <c r="J275"/>
  <c r="E275"/>
  <c r="F275"/>
  <c r="G275"/>
  <c r="H275"/>
  <c r="I275"/>
  <c r="D275"/>
  <c r="F116"/>
  <c r="F115"/>
  <c r="E52"/>
  <c r="I50"/>
  <c r="J50" s="1"/>
  <c r="F291"/>
  <c r="G291"/>
  <c r="H291"/>
  <c r="D216"/>
  <c r="D209"/>
  <c r="H229"/>
  <c r="H225" s="1"/>
  <c r="H224" s="1"/>
  <c r="G229"/>
  <c r="G225" s="1"/>
  <c r="G224" s="1"/>
  <c r="F229"/>
  <c r="I229" s="1"/>
  <c r="D229"/>
  <c r="D225" s="1"/>
  <c r="D224" s="1"/>
  <c r="I228"/>
  <c r="J228" s="1"/>
  <c r="E228"/>
  <c r="I227"/>
  <c r="J227" s="1"/>
  <c r="E227"/>
  <c r="E229" s="1"/>
  <c r="I226"/>
  <c r="J226" s="1"/>
  <c r="E226"/>
  <c r="D132"/>
  <c r="D144"/>
  <c r="D89"/>
  <c r="D159"/>
  <c r="I164"/>
  <c r="J164" s="1"/>
  <c r="E164"/>
  <c r="D148"/>
  <c r="D147"/>
  <c r="D143"/>
  <c r="D142"/>
  <c r="D292"/>
  <c r="F155"/>
  <c r="G155"/>
  <c r="H155"/>
  <c r="I163"/>
  <c r="J163" s="1"/>
  <c r="E163"/>
  <c r="K163" s="1"/>
  <c r="F292"/>
  <c r="G292"/>
  <c r="H292"/>
  <c r="D73" i="4"/>
  <c r="E44"/>
  <c r="I47"/>
  <c r="E72"/>
  <c r="I78"/>
  <c r="K50" i="3" l="1"/>
  <c r="K164"/>
  <c r="F225"/>
  <c r="F224" s="1"/>
  <c r="K226"/>
  <c r="K229"/>
  <c r="I225"/>
  <c r="I224" s="1"/>
  <c r="E225"/>
  <c r="E224" s="1"/>
  <c r="K228"/>
  <c r="J229"/>
  <c r="J225" s="1"/>
  <c r="J224" s="1"/>
  <c r="K227"/>
  <c r="E268"/>
  <c r="E267"/>
  <c r="E266"/>
  <c r="E265"/>
  <c r="E264"/>
  <c r="E262"/>
  <c r="E261"/>
  <c r="E260"/>
  <c r="E254"/>
  <c r="E253"/>
  <c r="E252"/>
  <c r="E249"/>
  <c r="E248"/>
  <c r="E246"/>
  <c r="E277" s="1"/>
  <c r="E245"/>
  <c r="E244"/>
  <c r="E242"/>
  <c r="E231"/>
  <c r="E223"/>
  <c r="E222"/>
  <c r="E221"/>
  <c r="E220"/>
  <c r="E219"/>
  <c r="E218"/>
  <c r="E217"/>
  <c r="E216"/>
  <c r="E213"/>
  <c r="E212"/>
  <c r="E210"/>
  <c r="E209"/>
  <c r="E205"/>
  <c r="E203"/>
  <c r="E202"/>
  <c r="E201"/>
  <c r="E198"/>
  <c r="E197"/>
  <c r="E196"/>
  <c r="E193"/>
  <c r="E192"/>
  <c r="E191"/>
  <c r="E190"/>
  <c r="E189"/>
  <c r="E187"/>
  <c r="E186"/>
  <c r="E185"/>
  <c r="E184"/>
  <c r="E183"/>
  <c r="E180"/>
  <c r="E179"/>
  <c r="E176"/>
  <c r="E174"/>
  <c r="E173"/>
  <c r="E160"/>
  <c r="E159"/>
  <c r="E158"/>
  <c r="E153"/>
  <c r="E148"/>
  <c r="E147"/>
  <c r="E146"/>
  <c r="E145"/>
  <c r="E144"/>
  <c r="E143"/>
  <c r="E132"/>
  <c r="E131"/>
  <c r="E123"/>
  <c r="E122"/>
  <c r="E121"/>
  <c r="E120"/>
  <c r="E119"/>
  <c r="E116"/>
  <c r="E115"/>
  <c r="E113"/>
  <c r="E112"/>
  <c r="E111"/>
  <c r="E110"/>
  <c r="E105"/>
  <c r="E101"/>
  <c r="E89"/>
  <c r="E87"/>
  <c r="E292" s="1"/>
  <c r="E79"/>
  <c r="E78"/>
  <c r="E77"/>
  <c r="E74"/>
  <c r="E69"/>
  <c r="E68"/>
  <c r="E62"/>
  <c r="E55"/>
  <c r="E54"/>
  <c r="E49"/>
  <c r="E51"/>
  <c r="E48"/>
  <c r="E46"/>
  <c r="E45"/>
  <c r="E18"/>
  <c r="E19"/>
  <c r="E17"/>
  <c r="H74" i="4"/>
  <c r="H75"/>
  <c r="K225" i="3" l="1"/>
  <c r="K224" s="1"/>
  <c r="D83" i="4"/>
  <c r="F140" i="3"/>
  <c r="G140"/>
  <c r="H140"/>
  <c r="F124"/>
  <c r="I143"/>
  <c r="K143" s="1"/>
  <c r="D124"/>
  <c r="E124" s="1"/>
  <c r="D140" l="1"/>
  <c r="E142"/>
  <c r="E140" s="1"/>
  <c r="J143"/>
  <c r="I79" i="4"/>
  <c r="F296" i="3"/>
  <c r="G296"/>
  <c r="H296"/>
  <c r="E243"/>
  <c r="D161"/>
  <c r="E161" s="1"/>
  <c r="F127"/>
  <c r="G127"/>
  <c r="H127"/>
  <c r="D130"/>
  <c r="I132"/>
  <c r="K132" s="1"/>
  <c r="I131"/>
  <c r="K131" s="1"/>
  <c r="D127" l="1"/>
  <c r="E130"/>
  <c r="E127" s="1"/>
  <c r="J131"/>
  <c r="J132"/>
  <c r="F154" l="1"/>
  <c r="G154"/>
  <c r="H154"/>
  <c r="D118"/>
  <c r="I77" i="4" l="1"/>
  <c r="I205" i="3"/>
  <c r="K205" s="1"/>
  <c r="H204"/>
  <c r="H200" s="1"/>
  <c r="G204"/>
  <c r="G200" s="1"/>
  <c r="F204"/>
  <c r="F200" s="1"/>
  <c r="E204"/>
  <c r="E200" s="1"/>
  <c r="D204"/>
  <c r="D200" s="1"/>
  <c r="I203"/>
  <c r="J203" s="1"/>
  <c r="I202"/>
  <c r="K202" s="1"/>
  <c r="I201"/>
  <c r="J201" s="1"/>
  <c r="J205" l="1"/>
  <c r="I204"/>
  <c r="K204" s="1"/>
  <c r="J202"/>
  <c r="K201"/>
  <c r="K203"/>
  <c r="D72" i="4" l="1"/>
  <c r="D71" s="1"/>
  <c r="J204" i="3"/>
  <c r="J200" s="1"/>
  <c r="K200"/>
  <c r="I200"/>
  <c r="I161"/>
  <c r="K161" s="1"/>
  <c r="J161" l="1"/>
  <c r="E166"/>
  <c r="F166"/>
  <c r="G166"/>
  <c r="H166"/>
  <c r="D166"/>
  <c r="I167" l="1"/>
  <c r="F293"/>
  <c r="I166" l="1"/>
  <c r="K167"/>
  <c r="K166" s="1"/>
  <c r="J167"/>
  <c r="J166" s="1"/>
  <c r="D67"/>
  <c r="E67" s="1"/>
  <c r="I73" l="1"/>
  <c r="D73"/>
  <c r="E73" s="1"/>
  <c r="I68"/>
  <c r="J68" s="1"/>
  <c r="F290"/>
  <c r="G290"/>
  <c r="H290"/>
  <c r="E273"/>
  <c r="F273"/>
  <c r="G273"/>
  <c r="H273"/>
  <c r="D273"/>
  <c r="I142"/>
  <c r="J142" s="1"/>
  <c r="I144"/>
  <c r="J144" s="1"/>
  <c r="I160"/>
  <c r="J160" s="1"/>
  <c r="D157"/>
  <c r="D155" s="1"/>
  <c r="D154" s="1"/>
  <c r="D255"/>
  <c r="E255" s="1"/>
  <c r="D70"/>
  <c r="E70" s="1"/>
  <c r="D63"/>
  <c r="E63" s="1"/>
  <c r="D291"/>
  <c r="D65"/>
  <c r="D61"/>
  <c r="E61" s="1"/>
  <c r="D59"/>
  <c r="E59" s="1"/>
  <c r="D71"/>
  <c r="E71" s="1"/>
  <c r="I147"/>
  <c r="J147" s="1"/>
  <c r="I74" i="4"/>
  <c r="I18" i="3"/>
  <c r="K18" s="1"/>
  <c r="I19"/>
  <c r="K19" s="1"/>
  <c r="I24"/>
  <c r="K24" s="1"/>
  <c r="I25"/>
  <c r="K25" s="1"/>
  <c r="I26"/>
  <c r="K26" s="1"/>
  <c r="I29"/>
  <c r="K29" s="1"/>
  <c r="I30"/>
  <c r="K30" s="1"/>
  <c r="I31"/>
  <c r="K31" s="1"/>
  <c r="I32"/>
  <c r="K32" s="1"/>
  <c r="I33"/>
  <c r="K33" s="1"/>
  <c r="I36"/>
  <c r="K36" s="1"/>
  <c r="I37"/>
  <c r="K37" s="1"/>
  <c r="I45"/>
  <c r="K45" s="1"/>
  <c r="I46"/>
  <c r="K46" s="1"/>
  <c r="I48"/>
  <c r="K48" s="1"/>
  <c r="I49"/>
  <c r="K49" s="1"/>
  <c r="I51"/>
  <c r="K51" s="1"/>
  <c r="I52"/>
  <c r="K52" s="1"/>
  <c r="I54"/>
  <c r="K54" s="1"/>
  <c r="I55"/>
  <c r="K55" s="1"/>
  <c r="I59"/>
  <c r="I60"/>
  <c r="K60" s="1"/>
  <c r="I61"/>
  <c r="I62"/>
  <c r="K62" s="1"/>
  <c r="I63"/>
  <c r="I65"/>
  <c r="I66"/>
  <c r="I67"/>
  <c r="K67" s="1"/>
  <c r="I69"/>
  <c r="K69" s="1"/>
  <c r="I70"/>
  <c r="K70" s="1"/>
  <c r="I71"/>
  <c r="I74"/>
  <c r="I77"/>
  <c r="K77" s="1"/>
  <c r="I78"/>
  <c r="I79"/>
  <c r="I82"/>
  <c r="I83"/>
  <c r="I84"/>
  <c r="I87"/>
  <c r="I292" s="1"/>
  <c r="I89"/>
  <c r="I92"/>
  <c r="I93"/>
  <c r="I95"/>
  <c r="I96"/>
  <c r="I97"/>
  <c r="I98"/>
  <c r="I101"/>
  <c r="I104"/>
  <c r="I105"/>
  <c r="I110"/>
  <c r="I111"/>
  <c r="I112"/>
  <c r="I113"/>
  <c r="I115"/>
  <c r="I116"/>
  <c r="I119"/>
  <c r="I120"/>
  <c r="I121"/>
  <c r="I122"/>
  <c r="I123"/>
  <c r="I124"/>
  <c r="I128"/>
  <c r="I129"/>
  <c r="I130"/>
  <c r="I134"/>
  <c r="I135"/>
  <c r="I136"/>
  <c r="I145"/>
  <c r="I146"/>
  <c r="I148"/>
  <c r="I153"/>
  <c r="I157"/>
  <c r="I158"/>
  <c r="J158" s="1"/>
  <c r="I159"/>
  <c r="I173"/>
  <c r="I174"/>
  <c r="I175"/>
  <c r="I176"/>
  <c r="I177"/>
  <c r="I179"/>
  <c r="I180"/>
  <c r="I183"/>
  <c r="I184"/>
  <c r="I185"/>
  <c r="I186"/>
  <c r="I187"/>
  <c r="I189"/>
  <c r="I190"/>
  <c r="I191"/>
  <c r="I192"/>
  <c r="I193"/>
  <c r="I196"/>
  <c r="I197"/>
  <c r="I198"/>
  <c r="I209"/>
  <c r="I210"/>
  <c r="I212"/>
  <c r="I213"/>
  <c r="I216"/>
  <c r="I217"/>
  <c r="I218"/>
  <c r="I219"/>
  <c r="I220"/>
  <c r="I221"/>
  <c r="I222"/>
  <c r="I223"/>
  <c r="I231"/>
  <c r="I232"/>
  <c r="I233"/>
  <c r="I235"/>
  <c r="I236"/>
  <c r="I237"/>
  <c r="I238"/>
  <c r="I242"/>
  <c r="I243"/>
  <c r="I244"/>
  <c r="I245"/>
  <c r="I246"/>
  <c r="I248"/>
  <c r="I249"/>
  <c r="I252"/>
  <c r="I253"/>
  <c r="I254"/>
  <c r="I255"/>
  <c r="I260"/>
  <c r="I261"/>
  <c r="I262"/>
  <c r="I264"/>
  <c r="I265"/>
  <c r="I266"/>
  <c r="I267"/>
  <c r="I268"/>
  <c r="I284"/>
  <c r="I289"/>
  <c r="I17"/>
  <c r="E299"/>
  <c r="G293"/>
  <c r="H293"/>
  <c r="E294"/>
  <c r="F294"/>
  <c r="G294"/>
  <c r="H294"/>
  <c r="D294"/>
  <c r="E283"/>
  <c r="F283"/>
  <c r="G283"/>
  <c r="H283"/>
  <c r="D283"/>
  <c r="H280"/>
  <c r="G280"/>
  <c r="F280"/>
  <c r="E280"/>
  <c r="H279"/>
  <c r="G279"/>
  <c r="F279"/>
  <c r="E279"/>
  <c r="D280"/>
  <c r="D279"/>
  <c r="E274"/>
  <c r="F274"/>
  <c r="G274"/>
  <c r="H274"/>
  <c r="E276"/>
  <c r="F276"/>
  <c r="G276"/>
  <c r="H276"/>
  <c r="F277"/>
  <c r="G277"/>
  <c r="H277"/>
  <c r="D277"/>
  <c r="D276"/>
  <c r="D274"/>
  <c r="E270"/>
  <c r="F270"/>
  <c r="G270"/>
  <c r="H270"/>
  <c r="E271"/>
  <c r="F271"/>
  <c r="G271"/>
  <c r="H271"/>
  <c r="D271"/>
  <c r="D270"/>
  <c r="D82" i="4"/>
  <c r="E40"/>
  <c r="D40"/>
  <c r="D278" i="3" l="1"/>
  <c r="I291"/>
  <c r="J291" s="1"/>
  <c r="I155"/>
  <c r="I154" s="1"/>
  <c r="K73"/>
  <c r="D290"/>
  <c r="E65"/>
  <c r="E290" s="1"/>
  <c r="E66"/>
  <c r="E291" s="1"/>
  <c r="E157"/>
  <c r="E296"/>
  <c r="I140"/>
  <c r="D296"/>
  <c r="D286"/>
  <c r="I273"/>
  <c r="K273" s="1"/>
  <c r="I296"/>
  <c r="J73"/>
  <c r="K130"/>
  <c r="I127"/>
  <c r="J127" s="1"/>
  <c r="J159"/>
  <c r="I279"/>
  <c r="K279" s="1"/>
  <c r="I280"/>
  <c r="J280" s="1"/>
  <c r="K71"/>
  <c r="K66"/>
  <c r="K63"/>
  <c r="K61"/>
  <c r="K59"/>
  <c r="D293"/>
  <c r="E293"/>
  <c r="K68"/>
  <c r="J273"/>
  <c r="I290"/>
  <c r="K290" s="1"/>
  <c r="K142"/>
  <c r="K144"/>
  <c r="I271"/>
  <c r="K271" s="1"/>
  <c r="I270"/>
  <c r="K270" s="1"/>
  <c r="I294"/>
  <c r="K294" s="1"/>
  <c r="I293"/>
  <c r="I283"/>
  <c r="J283" s="1"/>
  <c r="J292"/>
  <c r="K160"/>
  <c r="K147"/>
  <c r="I277"/>
  <c r="J277" s="1"/>
  <c r="I276"/>
  <c r="J276" s="1"/>
  <c r="I274"/>
  <c r="J274" s="1"/>
  <c r="K284"/>
  <c r="J284"/>
  <c r="K268"/>
  <c r="J268"/>
  <c r="K266"/>
  <c r="J266"/>
  <c r="K264"/>
  <c r="J264"/>
  <c r="K262"/>
  <c r="J262"/>
  <c r="K260"/>
  <c r="J260"/>
  <c r="K255"/>
  <c r="J255"/>
  <c r="K253"/>
  <c r="J253"/>
  <c r="K249"/>
  <c r="J249"/>
  <c r="K245"/>
  <c r="J245"/>
  <c r="K243"/>
  <c r="J243"/>
  <c r="K238"/>
  <c r="J238"/>
  <c r="K236"/>
  <c r="J236"/>
  <c r="K232"/>
  <c r="J232"/>
  <c r="K223"/>
  <c r="J223"/>
  <c r="K221"/>
  <c r="J221"/>
  <c r="K219"/>
  <c r="J219"/>
  <c r="K217"/>
  <c r="J217"/>
  <c r="K213"/>
  <c r="J213"/>
  <c r="K209"/>
  <c r="J209"/>
  <c r="K198"/>
  <c r="J198"/>
  <c r="K196"/>
  <c r="J196"/>
  <c r="K193"/>
  <c r="J193"/>
  <c r="K191"/>
  <c r="J191"/>
  <c r="K189"/>
  <c r="J189"/>
  <c r="K187"/>
  <c r="J187"/>
  <c r="K185"/>
  <c r="J185"/>
  <c r="K183"/>
  <c r="J183"/>
  <c r="K179"/>
  <c r="J179"/>
  <c r="K177"/>
  <c r="J177"/>
  <c r="K173"/>
  <c r="J173"/>
  <c r="K148"/>
  <c r="J148"/>
  <c r="K145"/>
  <c r="J145"/>
  <c r="K135"/>
  <c r="J135"/>
  <c r="K128"/>
  <c r="J128"/>
  <c r="K123"/>
  <c r="J123"/>
  <c r="K121"/>
  <c r="J121"/>
  <c r="K119"/>
  <c r="J119"/>
  <c r="K115"/>
  <c r="J115"/>
  <c r="K113"/>
  <c r="J113"/>
  <c r="K111"/>
  <c r="J111"/>
  <c r="K104"/>
  <c r="J104"/>
  <c r="K101"/>
  <c r="J101"/>
  <c r="K97"/>
  <c r="J97"/>
  <c r="K95"/>
  <c r="J95"/>
  <c r="K93"/>
  <c r="J93"/>
  <c r="K87"/>
  <c r="J87"/>
  <c r="K82"/>
  <c r="J82"/>
  <c r="K78"/>
  <c r="J78"/>
  <c r="K74"/>
  <c r="J74"/>
  <c r="J270"/>
  <c r="J294"/>
  <c r="J17"/>
  <c r="K17"/>
  <c r="K289"/>
  <c r="J289"/>
  <c r="K267"/>
  <c r="J267"/>
  <c r="K265"/>
  <c r="J265"/>
  <c r="K261"/>
  <c r="J261"/>
  <c r="K254"/>
  <c r="J254"/>
  <c r="K252"/>
  <c r="J252"/>
  <c r="K248"/>
  <c r="J248"/>
  <c r="K246"/>
  <c r="J246"/>
  <c r="K244"/>
  <c r="J244"/>
  <c r="K242"/>
  <c r="J242"/>
  <c r="K237"/>
  <c r="J237"/>
  <c r="K235"/>
  <c r="J235"/>
  <c r="K233"/>
  <c r="J233"/>
  <c r="K231"/>
  <c r="J231"/>
  <c r="K222"/>
  <c r="J222"/>
  <c r="K220"/>
  <c r="J220"/>
  <c r="K218"/>
  <c r="J218"/>
  <c r="K216"/>
  <c r="J216"/>
  <c r="K212"/>
  <c r="J212"/>
  <c r="K210"/>
  <c r="J210"/>
  <c r="K197"/>
  <c r="J197"/>
  <c r="K192"/>
  <c r="J192"/>
  <c r="K190"/>
  <c r="J190"/>
  <c r="K186"/>
  <c r="J186"/>
  <c r="K184"/>
  <c r="J184"/>
  <c r="K180"/>
  <c r="J180"/>
  <c r="K176"/>
  <c r="J176"/>
  <c r="K174"/>
  <c r="J174"/>
  <c r="K157"/>
  <c r="J157"/>
  <c r="K153"/>
  <c r="J153"/>
  <c r="K146"/>
  <c r="J146"/>
  <c r="K136"/>
  <c r="J136"/>
  <c r="K134"/>
  <c r="J134"/>
  <c r="K129"/>
  <c r="J129"/>
  <c r="K124"/>
  <c r="J124"/>
  <c r="K122"/>
  <c r="J122"/>
  <c r="K120"/>
  <c r="J120"/>
  <c r="K116"/>
  <c r="J116"/>
  <c r="K112"/>
  <c r="J112"/>
  <c r="K110"/>
  <c r="J110"/>
  <c r="K105"/>
  <c r="J105"/>
  <c r="K98"/>
  <c r="J98"/>
  <c r="K96"/>
  <c r="J96"/>
  <c r="K92"/>
  <c r="J92"/>
  <c r="K89"/>
  <c r="J89"/>
  <c r="K83"/>
  <c r="J83"/>
  <c r="K79"/>
  <c r="J79"/>
  <c r="K274"/>
  <c r="J77"/>
  <c r="J71"/>
  <c r="J70"/>
  <c r="J69"/>
  <c r="J67"/>
  <c r="J66"/>
  <c r="J65"/>
  <c r="J63"/>
  <c r="J62"/>
  <c r="J61"/>
  <c r="J60"/>
  <c r="J59"/>
  <c r="J55"/>
  <c r="J54"/>
  <c r="J52"/>
  <c r="J51"/>
  <c r="J49"/>
  <c r="J48"/>
  <c r="J46"/>
  <c r="J45"/>
  <c r="J37"/>
  <c r="J36"/>
  <c r="J33"/>
  <c r="J32"/>
  <c r="J31"/>
  <c r="J30"/>
  <c r="J29"/>
  <c r="J26"/>
  <c r="J25"/>
  <c r="J24"/>
  <c r="J19"/>
  <c r="J18"/>
  <c r="D175"/>
  <c r="D178" s="1"/>
  <c r="D181"/>
  <c r="E181"/>
  <c r="H251"/>
  <c r="G251"/>
  <c r="F251"/>
  <c r="E251"/>
  <c r="D251"/>
  <c r="H250"/>
  <c r="G250"/>
  <c r="F250"/>
  <c r="E250"/>
  <c r="D250"/>
  <c r="H247"/>
  <c r="G247"/>
  <c r="F247"/>
  <c r="E247"/>
  <c r="D247"/>
  <c r="E114"/>
  <c r="F114"/>
  <c r="G114"/>
  <c r="H114"/>
  <c r="D114"/>
  <c r="E117"/>
  <c r="D117"/>
  <c r="D53"/>
  <c r="F126"/>
  <c r="H21" i="4"/>
  <c r="I84"/>
  <c r="I58"/>
  <c r="I59"/>
  <c r="I60"/>
  <c r="I62"/>
  <c r="I63"/>
  <c r="I64"/>
  <c r="I69"/>
  <c r="I57"/>
  <c r="F299" i="3"/>
  <c r="F286"/>
  <c r="F263"/>
  <c r="F259" s="1"/>
  <c r="F234"/>
  <c r="F230"/>
  <c r="F215"/>
  <c r="F214"/>
  <c r="F211"/>
  <c r="F199"/>
  <c r="F188"/>
  <c r="F181"/>
  <c r="F178"/>
  <c r="F152"/>
  <c r="F138"/>
  <c r="F137"/>
  <c r="F117"/>
  <c r="F103"/>
  <c r="F99"/>
  <c r="F94"/>
  <c r="F91"/>
  <c r="F86"/>
  <c r="F80"/>
  <c r="F295"/>
  <c r="F287"/>
  <c r="F285"/>
  <c r="F56"/>
  <c r="F53"/>
  <c r="F47"/>
  <c r="F39"/>
  <c r="F34"/>
  <c r="F27"/>
  <c r="F40"/>
  <c r="G84" i="4"/>
  <c r="F84"/>
  <c r="F83" s="1"/>
  <c r="F82" s="1"/>
  <c r="G83"/>
  <c r="G82" s="1"/>
  <c r="G81" s="1"/>
  <c r="G80" s="1"/>
  <c r="G234" i="3"/>
  <c r="H234"/>
  <c r="E230"/>
  <c r="G230"/>
  <c r="H230"/>
  <c r="D230"/>
  <c r="K277" l="1"/>
  <c r="K65"/>
  <c r="K291"/>
  <c r="E155"/>
  <c r="E154" s="1"/>
  <c r="J290"/>
  <c r="J175"/>
  <c r="E175"/>
  <c r="K293"/>
  <c r="K292"/>
  <c r="K280"/>
  <c r="D172"/>
  <c r="J296"/>
  <c r="D109"/>
  <c r="K296"/>
  <c r="J293"/>
  <c r="K276"/>
  <c r="J279"/>
  <c r="J271"/>
  <c r="K283"/>
  <c r="G73" i="4"/>
  <c r="F81"/>
  <c r="F80" s="1"/>
  <c r="H82"/>
  <c r="H84"/>
  <c r="H241" i="3"/>
  <c r="H240" s="1"/>
  <c r="H169" s="1"/>
  <c r="I251"/>
  <c r="J251" s="1"/>
  <c r="F35"/>
  <c r="F76"/>
  <c r="F100"/>
  <c r="F182"/>
  <c r="K159"/>
  <c r="E241"/>
  <c r="I234"/>
  <c r="I114"/>
  <c r="J114" s="1"/>
  <c r="G241"/>
  <c r="G240" s="1"/>
  <c r="G169" s="1"/>
  <c r="I250"/>
  <c r="J250" s="1"/>
  <c r="F28"/>
  <c r="F151"/>
  <c r="D241"/>
  <c r="F241"/>
  <c r="I247"/>
  <c r="J247" s="1"/>
  <c r="I230"/>
  <c r="K230" s="1"/>
  <c r="J140"/>
  <c r="E109"/>
  <c r="F109"/>
  <c r="F172"/>
  <c r="F195"/>
  <c r="F208"/>
  <c r="F207" s="1"/>
  <c r="F139"/>
  <c r="F297"/>
  <c r="F272"/>
  <c r="F44"/>
  <c r="F288"/>
  <c r="F278"/>
  <c r="F20"/>
  <c r="F16" s="1"/>
  <c r="F41"/>
  <c r="F64"/>
  <c r="F72"/>
  <c r="F281"/>
  <c r="F38"/>
  <c r="D215"/>
  <c r="I27" i="4"/>
  <c r="D25"/>
  <c r="F171" i="3" l="1"/>
  <c r="G72" i="4"/>
  <c r="G71" s="1"/>
  <c r="G70" s="1"/>
  <c r="G69" s="1"/>
  <c r="G68" s="1"/>
  <c r="G67" s="1"/>
  <c r="G66" s="1"/>
  <c r="G65" s="1"/>
  <c r="G64" s="1"/>
  <c r="G63" s="1"/>
  <c r="G62" s="1"/>
  <c r="G61" s="1"/>
  <c r="G60" s="1"/>
  <c r="G59" s="1"/>
  <c r="G58" s="1"/>
  <c r="G57" s="1"/>
  <c r="G56" s="1"/>
  <c r="G55" s="1"/>
  <c r="G54" s="1"/>
  <c r="G53" s="1"/>
  <c r="G52" s="1"/>
  <c r="G51" s="1"/>
  <c r="G50" s="1"/>
  <c r="G49" s="1"/>
  <c r="G48" s="1"/>
  <c r="K175" i="3"/>
  <c r="E178"/>
  <c r="E172" s="1"/>
  <c r="K114"/>
  <c r="J156"/>
  <c r="K250"/>
  <c r="K251"/>
  <c r="F58"/>
  <c r="F23" s="1"/>
  <c r="F15"/>
  <c r="F282"/>
  <c r="F300" s="1"/>
  <c r="F240"/>
  <c r="I240" s="1"/>
  <c r="I241"/>
  <c r="K241" s="1"/>
  <c r="D240"/>
  <c r="F258"/>
  <c r="F150"/>
  <c r="F149" s="1"/>
  <c r="K140"/>
  <c r="K247"/>
  <c r="F42"/>
  <c r="F108"/>
  <c r="E240"/>
  <c r="J230"/>
  <c r="I76" i="4"/>
  <c r="E234" i="3"/>
  <c r="K234" s="1"/>
  <c r="D234"/>
  <c r="E83" i="4"/>
  <c r="G152" i="3"/>
  <c r="H152"/>
  <c r="H151" s="1"/>
  <c r="H150" s="1"/>
  <c r="H149" s="1"/>
  <c r="K127"/>
  <c r="J234" l="1"/>
  <c r="J240"/>
  <c r="G47" i="4"/>
  <c r="G46"/>
  <c r="G45" s="1"/>
  <c r="G44" s="1"/>
  <c r="G43" s="1"/>
  <c r="G42" s="1"/>
  <c r="G41" s="1"/>
  <c r="G40" s="1"/>
  <c r="G39" s="1"/>
  <c r="G38" s="1"/>
  <c r="G37" s="1"/>
  <c r="G36" s="1"/>
  <c r="G35" s="1"/>
  <c r="G34" s="1"/>
  <c r="G33" s="1"/>
  <c r="G32" s="1"/>
  <c r="G31" s="1"/>
  <c r="G30" s="1"/>
  <c r="G29" s="1"/>
  <c r="G28" s="1"/>
  <c r="G27" s="1"/>
  <c r="G26" s="1"/>
  <c r="G25" s="1"/>
  <c r="G24" s="1"/>
  <c r="G23" s="1"/>
  <c r="G22" s="1"/>
  <c r="G21" s="1"/>
  <c r="G20" s="1"/>
  <c r="G19" s="1"/>
  <c r="G18" s="1"/>
  <c r="G16" s="1"/>
  <c r="K240" i="3"/>
  <c r="J241"/>
  <c r="F73" i="4"/>
  <c r="F72" s="1"/>
  <c r="H83"/>
  <c r="H81" s="1"/>
  <c r="H80" s="1"/>
  <c r="E81"/>
  <c r="E80" s="1"/>
  <c r="K158" i="3"/>
  <c r="F107"/>
  <c r="F257"/>
  <c r="G151"/>
  <c r="I152"/>
  <c r="F22"/>
  <c r="F43"/>
  <c r="F170"/>
  <c r="F14"/>
  <c r="D72"/>
  <c r="H73" i="4" l="1"/>
  <c r="H72" s="1"/>
  <c r="F298" i="3"/>
  <c r="F12" s="1"/>
  <c r="I170"/>
  <c r="G150"/>
  <c r="G149" s="1"/>
  <c r="I151"/>
  <c r="K156"/>
  <c r="F169"/>
  <c r="I169" s="1"/>
  <c r="G299"/>
  <c r="H299"/>
  <c r="D299"/>
  <c r="E152"/>
  <c r="K152" s="1"/>
  <c r="D152"/>
  <c r="J152" s="1"/>
  <c r="E71" i="4"/>
  <c r="I75"/>
  <c r="I83"/>
  <c r="D21"/>
  <c r="E21"/>
  <c r="F71" l="1"/>
  <c r="F70" s="1"/>
  <c r="F69" s="1"/>
  <c r="J130" i="3"/>
  <c r="I150"/>
  <c r="I149" s="1"/>
  <c r="K154"/>
  <c r="K155"/>
  <c r="I299"/>
  <c r="K299" s="1"/>
  <c r="E70" i="4"/>
  <c r="H71"/>
  <c r="E118" i="3"/>
  <c r="D70" i="4"/>
  <c r="I71"/>
  <c r="D151" i="3"/>
  <c r="J151" s="1"/>
  <c r="E151"/>
  <c r="K151" s="1"/>
  <c r="H80"/>
  <c r="H76" s="1"/>
  <c r="G80"/>
  <c r="E80"/>
  <c r="D80"/>
  <c r="D61" i="4"/>
  <c r="I61" s="1"/>
  <c r="H70" l="1"/>
  <c r="H69"/>
  <c r="F68"/>
  <c r="F67" s="1"/>
  <c r="F66" s="1"/>
  <c r="F65" s="1"/>
  <c r="F64" s="1"/>
  <c r="G76" i="3"/>
  <c r="I76" s="1"/>
  <c r="I80"/>
  <c r="D76"/>
  <c r="J76" s="1"/>
  <c r="J80"/>
  <c r="E76"/>
  <c r="K76" s="1"/>
  <c r="K80"/>
  <c r="E108"/>
  <c r="J299"/>
  <c r="I70" i="4"/>
  <c r="D150" i="3"/>
  <c r="E150"/>
  <c r="E149" s="1"/>
  <c r="J150" l="1"/>
  <c r="D149"/>
  <c r="H64" i="4"/>
  <c r="F63"/>
  <c r="K149" i="3"/>
  <c r="K150"/>
  <c r="H63" i="4" l="1"/>
  <c r="F62"/>
  <c r="H62" l="1"/>
  <c r="F61"/>
  <c r="G86" i="3"/>
  <c r="H86"/>
  <c r="E86"/>
  <c r="D86"/>
  <c r="D44" i="4"/>
  <c r="I50"/>
  <c r="I48"/>
  <c r="E263" i="3"/>
  <c r="D47"/>
  <c r="I56" i="4"/>
  <c r="E39"/>
  <c r="E278" i="3"/>
  <c r="G278"/>
  <c r="H278"/>
  <c r="I89" i="4"/>
  <c r="I88"/>
  <c r="I87"/>
  <c r="I86"/>
  <c r="I85"/>
  <c r="I82"/>
  <c r="D81"/>
  <c r="D80" s="1"/>
  <c r="I73"/>
  <c r="I72" s="1"/>
  <c r="E68"/>
  <c r="D68"/>
  <c r="I55"/>
  <c r="E54"/>
  <c r="D54"/>
  <c r="I51"/>
  <c r="I49"/>
  <c r="I46"/>
  <c r="I45"/>
  <c r="I43"/>
  <c r="I42"/>
  <c r="I41"/>
  <c r="I37"/>
  <c r="I36"/>
  <c r="I35"/>
  <c r="I34"/>
  <c r="E33"/>
  <c r="D33"/>
  <c r="I31"/>
  <c r="I30"/>
  <c r="I29"/>
  <c r="E28"/>
  <c r="D28"/>
  <c r="D20" s="1"/>
  <c r="I26"/>
  <c r="E25"/>
  <c r="I24"/>
  <c r="I23"/>
  <c r="I22"/>
  <c r="E53" i="3"/>
  <c r="E64"/>
  <c r="E58" s="1"/>
  <c r="E72"/>
  <c r="E81"/>
  <c r="E20"/>
  <c r="E16" s="1"/>
  <c r="E103"/>
  <c r="D263"/>
  <c r="D64"/>
  <c r="D58" s="1"/>
  <c r="D81"/>
  <c r="D285"/>
  <c r="E84"/>
  <c r="K84" s="1"/>
  <c r="D84"/>
  <c r="J84" s="1"/>
  <c r="E126"/>
  <c r="E295"/>
  <c r="E287"/>
  <c r="E285"/>
  <c r="E215"/>
  <c r="E214"/>
  <c r="E211"/>
  <c r="E199"/>
  <c r="E138"/>
  <c r="E137"/>
  <c r="E99"/>
  <c r="E94"/>
  <c r="G81"/>
  <c r="H81"/>
  <c r="H199"/>
  <c r="H195" s="1"/>
  <c r="G199"/>
  <c r="D199"/>
  <c r="D214"/>
  <c r="G139"/>
  <c r="H139"/>
  <c r="G91"/>
  <c r="H91"/>
  <c r="D91"/>
  <c r="G295"/>
  <c r="H295"/>
  <c r="D295"/>
  <c r="G286"/>
  <c r="H286"/>
  <c r="G285"/>
  <c r="H285"/>
  <c r="G287"/>
  <c r="H287"/>
  <c r="D287"/>
  <c r="G272"/>
  <c r="H272"/>
  <c r="G263"/>
  <c r="H263"/>
  <c r="G126"/>
  <c r="H126"/>
  <c r="D126"/>
  <c r="G118"/>
  <c r="H118"/>
  <c r="G103"/>
  <c r="H103"/>
  <c r="D103"/>
  <c r="G20"/>
  <c r="H20"/>
  <c r="D40"/>
  <c r="D39"/>
  <c r="E38"/>
  <c r="E40"/>
  <c r="E41"/>
  <c r="E39"/>
  <c r="G38"/>
  <c r="G40"/>
  <c r="G41"/>
  <c r="G39"/>
  <c r="G117"/>
  <c r="G138"/>
  <c r="H38"/>
  <c r="H40"/>
  <c r="H41"/>
  <c r="H39"/>
  <c r="H117"/>
  <c r="H109" s="1"/>
  <c r="H108" s="1"/>
  <c r="H138"/>
  <c r="D138"/>
  <c r="G178"/>
  <c r="H178"/>
  <c r="G137"/>
  <c r="H137"/>
  <c r="D137"/>
  <c r="G211"/>
  <c r="G214"/>
  <c r="H214"/>
  <c r="D211"/>
  <c r="G47"/>
  <c r="G53"/>
  <c r="G56"/>
  <c r="G64"/>
  <c r="G72"/>
  <c r="H47"/>
  <c r="H53"/>
  <c r="H56"/>
  <c r="H64"/>
  <c r="H58" s="1"/>
  <c r="H72"/>
  <c r="G181"/>
  <c r="G188"/>
  <c r="H181"/>
  <c r="H188"/>
  <c r="H182" s="1"/>
  <c r="H34"/>
  <c r="H35" s="1"/>
  <c r="G34"/>
  <c r="E34"/>
  <c r="D34"/>
  <c r="G94"/>
  <c r="H94"/>
  <c r="D94"/>
  <c r="H99"/>
  <c r="H100" s="1"/>
  <c r="G99"/>
  <c r="D99"/>
  <c r="E27"/>
  <c r="G27"/>
  <c r="H27"/>
  <c r="H28" s="1"/>
  <c r="D27"/>
  <c r="D20"/>
  <c r="D188"/>
  <c r="H211"/>
  <c r="D139"/>
  <c r="D41"/>
  <c r="E286"/>
  <c r="D38"/>
  <c r="D39" i="4"/>
  <c r="G281" i="3"/>
  <c r="I126" l="1"/>
  <c r="J126" s="1"/>
  <c r="I263"/>
  <c r="K263" s="1"/>
  <c r="H61" i="4"/>
  <c r="F60"/>
  <c r="I81" i="3"/>
  <c r="J81" s="1"/>
  <c r="I86"/>
  <c r="K86" s="1"/>
  <c r="I214"/>
  <c r="K214" s="1"/>
  <c r="I137"/>
  <c r="J137" s="1"/>
  <c r="I103"/>
  <c r="J103" s="1"/>
  <c r="I287"/>
  <c r="J287" s="1"/>
  <c r="I285"/>
  <c r="J86"/>
  <c r="D182"/>
  <c r="D28"/>
  <c r="G28"/>
  <c r="I28" s="1"/>
  <c r="I27"/>
  <c r="J27" s="1"/>
  <c r="D100"/>
  <c r="D35"/>
  <c r="G35"/>
  <c r="I35" s="1"/>
  <c r="I34"/>
  <c r="J34" s="1"/>
  <c r="G182"/>
  <c r="I182" s="1"/>
  <c r="I188"/>
  <c r="J188" s="1"/>
  <c r="G58"/>
  <c r="I58" s="1"/>
  <c r="I64"/>
  <c r="J64" s="1"/>
  <c r="D208"/>
  <c r="D207" s="1"/>
  <c r="G195"/>
  <c r="I195" s="1"/>
  <c r="I199"/>
  <c r="J199" s="1"/>
  <c r="J155"/>
  <c r="J263"/>
  <c r="D259"/>
  <c r="E259" s="1"/>
  <c r="E15"/>
  <c r="I53"/>
  <c r="J53" s="1"/>
  <c r="I178"/>
  <c r="I138"/>
  <c r="I39"/>
  <c r="J39" s="1"/>
  <c r="I40"/>
  <c r="J40" s="1"/>
  <c r="K39"/>
  <c r="I118"/>
  <c r="K118" s="1"/>
  <c r="I286"/>
  <c r="J286" s="1"/>
  <c r="I91"/>
  <c r="J91" s="1"/>
  <c r="I139"/>
  <c r="J139" s="1"/>
  <c r="K285"/>
  <c r="I278"/>
  <c r="K278" s="1"/>
  <c r="D16"/>
  <c r="D15" s="1"/>
  <c r="E28"/>
  <c r="G100"/>
  <c r="I100" s="1"/>
  <c r="I99"/>
  <c r="J99" s="1"/>
  <c r="E35"/>
  <c r="K35" s="1"/>
  <c r="G16"/>
  <c r="G15" s="1"/>
  <c r="I20"/>
  <c r="I16" s="1"/>
  <c r="I15" s="1"/>
  <c r="D195"/>
  <c r="J195" s="1"/>
  <c r="E100"/>
  <c r="K99"/>
  <c r="D108"/>
  <c r="D107" s="1"/>
  <c r="I94"/>
  <c r="K94" s="1"/>
  <c r="I181"/>
  <c r="I72"/>
  <c r="J72" s="1"/>
  <c r="I56"/>
  <c r="I47"/>
  <c r="J47" s="1"/>
  <c r="I211"/>
  <c r="J211" s="1"/>
  <c r="J138"/>
  <c r="I117"/>
  <c r="I41"/>
  <c r="J41" s="1"/>
  <c r="I38"/>
  <c r="J38" s="1"/>
  <c r="I272"/>
  <c r="I295"/>
  <c r="K295" s="1"/>
  <c r="K138"/>
  <c r="K211"/>
  <c r="K287"/>
  <c r="K126"/>
  <c r="J285"/>
  <c r="K103"/>
  <c r="D19" i="4"/>
  <c r="H42" i="3"/>
  <c r="H43" s="1"/>
  <c r="G259"/>
  <c r="H259"/>
  <c r="H258" s="1"/>
  <c r="H257" s="1"/>
  <c r="H298" s="1"/>
  <c r="G109"/>
  <c r="H16"/>
  <c r="H15" s="1"/>
  <c r="E38" i="4"/>
  <c r="D67"/>
  <c r="D66" s="1"/>
  <c r="I68"/>
  <c r="I67" s="1"/>
  <c r="E67"/>
  <c r="E66" s="1"/>
  <c r="H68"/>
  <c r="E53"/>
  <c r="E32"/>
  <c r="E195" i="3"/>
  <c r="E20" i="4"/>
  <c r="E19" s="1"/>
  <c r="I81"/>
  <c r="I80"/>
  <c r="I25"/>
  <c r="I28"/>
  <c r="I33"/>
  <c r="I54"/>
  <c r="D53"/>
  <c r="D42" i="3"/>
  <c r="D288"/>
  <c r="H172"/>
  <c r="H171" s="1"/>
  <c r="H44"/>
  <c r="H23" s="1"/>
  <c r="G44"/>
  <c r="G215"/>
  <c r="H107"/>
  <c r="G42"/>
  <c r="H297"/>
  <c r="E107"/>
  <c r="E42"/>
  <c r="H215"/>
  <c r="G172"/>
  <c r="G171" s="1"/>
  <c r="E139"/>
  <c r="G288"/>
  <c r="H288"/>
  <c r="H282" s="1"/>
  <c r="D297"/>
  <c r="G297"/>
  <c r="E91"/>
  <c r="E288"/>
  <c r="H281"/>
  <c r="I281" s="1"/>
  <c r="D38" i="4"/>
  <c r="E208" i="3"/>
  <c r="E207" s="1"/>
  <c r="I44" i="4"/>
  <c r="G208" i="3"/>
  <c r="G207" s="1"/>
  <c r="D272"/>
  <c r="E297"/>
  <c r="H208"/>
  <c r="H207" s="1"/>
  <c r="E188"/>
  <c r="E56"/>
  <c r="E281"/>
  <c r="D56"/>
  <c r="E47"/>
  <c r="E272"/>
  <c r="I39" i="4"/>
  <c r="I40"/>
  <c r="D32"/>
  <c r="D171" i="3" l="1"/>
  <c r="K53"/>
  <c r="K137"/>
  <c r="K199"/>
  <c r="K81"/>
  <c r="K28"/>
  <c r="I53" i="4"/>
  <c r="K47" i="3"/>
  <c r="K91"/>
  <c r="K195"/>
  <c r="J118"/>
  <c r="K64"/>
  <c r="K100"/>
  <c r="K34"/>
  <c r="K27"/>
  <c r="J214"/>
  <c r="J58"/>
  <c r="K58"/>
  <c r="K272"/>
  <c r="K41"/>
  <c r="K40"/>
  <c r="J272"/>
  <c r="F59" i="4"/>
  <c r="H60"/>
  <c r="I38"/>
  <c r="I32"/>
  <c r="K139" i="3"/>
  <c r="K56"/>
  <c r="K38"/>
  <c r="J295"/>
  <c r="I297"/>
  <c r="K297" s="1"/>
  <c r="J56"/>
  <c r="E182"/>
  <c r="E171" s="1"/>
  <c r="K188"/>
  <c r="I208"/>
  <c r="G282"/>
  <c r="I282" s="1"/>
  <c r="I288"/>
  <c r="K288" s="1"/>
  <c r="I172"/>
  <c r="I171" s="1"/>
  <c r="E43"/>
  <c r="G23"/>
  <c r="I23" s="1"/>
  <c r="I14" s="1"/>
  <c r="I44"/>
  <c r="D43"/>
  <c r="G108"/>
  <c r="I109"/>
  <c r="K117"/>
  <c r="J117"/>
  <c r="J181"/>
  <c r="K181"/>
  <c r="K281"/>
  <c r="J94"/>
  <c r="J20"/>
  <c r="J16" s="1"/>
  <c r="J15" s="1"/>
  <c r="K72"/>
  <c r="K286"/>
  <c r="J35"/>
  <c r="J100"/>
  <c r="J28"/>
  <c r="J182"/>
  <c r="E282"/>
  <c r="G43"/>
  <c r="I43" s="1"/>
  <c r="I42"/>
  <c r="K42" s="1"/>
  <c r="D282"/>
  <c r="D300" s="1"/>
  <c r="G258"/>
  <c r="I259"/>
  <c r="J259" s="1"/>
  <c r="E258"/>
  <c r="K178"/>
  <c r="J178"/>
  <c r="J149"/>
  <c r="J154"/>
  <c r="I215"/>
  <c r="D44"/>
  <c r="K20"/>
  <c r="K16" s="1"/>
  <c r="K15" s="1"/>
  <c r="D258"/>
  <c r="I20" i="4"/>
  <c r="I19"/>
  <c r="H22" i="3"/>
  <c r="H14"/>
  <c r="H67" i="4"/>
  <c r="E52"/>
  <c r="E18" s="1"/>
  <c r="D65"/>
  <c r="D52"/>
  <c r="D281" i="3"/>
  <c r="J281" s="1"/>
  <c r="E44"/>
  <c r="K208" l="1"/>
  <c r="I207"/>
  <c r="J208"/>
  <c r="J172"/>
  <c r="J171"/>
  <c r="K182"/>
  <c r="I52" i="4"/>
  <c r="K171" i="3"/>
  <c r="K259"/>
  <c r="K172"/>
  <c r="J282"/>
  <c r="K282"/>
  <c r="J297"/>
  <c r="F58" i="4"/>
  <c r="H59"/>
  <c r="J44" i="3"/>
  <c r="G22"/>
  <c r="I22" s="1"/>
  <c r="D170"/>
  <c r="J170" s="1"/>
  <c r="J42"/>
  <c r="G14"/>
  <c r="I66" i="4"/>
  <c r="E23" i="3"/>
  <c r="K44"/>
  <c r="J215"/>
  <c r="K215"/>
  <c r="E257"/>
  <c r="G257"/>
  <c r="I258"/>
  <c r="K258" s="1"/>
  <c r="J109"/>
  <c r="K109"/>
  <c r="D257"/>
  <c r="G107"/>
  <c r="I107" s="1"/>
  <c r="I108"/>
  <c r="J288"/>
  <c r="J43"/>
  <c r="K43"/>
  <c r="K207"/>
  <c r="D23"/>
  <c r="H66" i="4"/>
  <c r="E65"/>
  <c r="H18"/>
  <c r="H300" i="3"/>
  <c r="H12" s="1"/>
  <c r="H65" i="4" l="1"/>
  <c r="E16"/>
  <c r="K23" i="3"/>
  <c r="K14" s="1"/>
  <c r="E14"/>
  <c r="E170"/>
  <c r="K170" s="1"/>
  <c r="D169"/>
  <c r="J169" s="1"/>
  <c r="F57" i="4"/>
  <c r="H58"/>
  <c r="E22" i="3"/>
  <c r="K22" s="1"/>
  <c r="K108"/>
  <c r="J108"/>
  <c r="J23"/>
  <c r="J14" s="1"/>
  <c r="D14"/>
  <c r="D22"/>
  <c r="J22" s="1"/>
  <c r="K107"/>
  <c r="J107"/>
  <c r="G298"/>
  <c r="I257"/>
  <c r="J257" s="1"/>
  <c r="D298"/>
  <c r="J207"/>
  <c r="J258"/>
  <c r="I65" i="4"/>
  <c r="H16"/>
  <c r="E298" i="3" l="1"/>
  <c r="E300" s="1"/>
  <c r="E12" s="1"/>
  <c r="E169"/>
  <c r="K169" s="1"/>
  <c r="F56" i="4"/>
  <c r="H57"/>
  <c r="K257" i="3"/>
  <c r="I298"/>
  <c r="G300"/>
  <c r="H23" i="2"/>
  <c r="F301" i="3"/>
  <c r="E23" i="2"/>
  <c r="I21" i="4"/>
  <c r="K298" i="3" l="1"/>
  <c r="F55" i="4"/>
  <c r="H56"/>
  <c r="J298" i="3"/>
  <c r="I300"/>
  <c r="G12"/>
  <c r="D18" i="4"/>
  <c r="F54" l="1"/>
  <c r="H55"/>
  <c r="E24" i="2"/>
  <c r="I12" i="3"/>
  <c r="K300"/>
  <c r="K12" s="1"/>
  <c r="I301"/>
  <c r="D16" i="4"/>
  <c r="I16" s="1"/>
  <c r="I18"/>
  <c r="F53" l="1"/>
  <c r="H54"/>
  <c r="E21" i="2"/>
  <c r="E13"/>
  <c r="H13" s="1"/>
  <c r="D23"/>
  <c r="F52" i="4" l="1"/>
  <c r="H53"/>
  <c r="D12" i="3"/>
  <c r="J278"/>
  <c r="F51" i="4" l="1"/>
  <c r="H52"/>
  <c r="D24" i="2"/>
  <c r="D13" s="1"/>
  <c r="I13" s="1"/>
  <c r="J300" i="3"/>
  <c r="J12" s="1"/>
  <c r="F50" i="4" l="1"/>
  <c r="H51"/>
  <c r="F49" l="1"/>
  <c r="H50"/>
  <c r="F48" l="1"/>
  <c r="F47" s="1"/>
  <c r="H47" s="1"/>
  <c r="H49"/>
  <c r="F46" l="1"/>
  <c r="H48"/>
  <c r="F45" l="1"/>
  <c r="H46"/>
  <c r="F44" l="1"/>
  <c r="H45"/>
  <c r="F43" l="1"/>
  <c r="H44"/>
  <c r="F42" l="1"/>
  <c r="H43"/>
  <c r="F41" l="1"/>
  <c r="H42"/>
  <c r="F40" l="1"/>
  <c r="H41"/>
  <c r="F39" l="1"/>
  <c r="H40"/>
  <c r="F38" l="1"/>
  <c r="H39"/>
  <c r="F37" l="1"/>
  <c r="H38"/>
  <c r="F36" l="1"/>
  <c r="H37"/>
  <c r="F35" l="1"/>
  <c r="H36"/>
  <c r="F34" l="1"/>
  <c r="H35"/>
  <c r="F33" l="1"/>
  <c r="H34"/>
  <c r="F32" l="1"/>
  <c r="H33"/>
  <c r="F31" l="1"/>
  <c r="H32"/>
  <c r="H31" l="1"/>
  <c r="F30"/>
  <c r="F29" l="1"/>
  <c r="H30"/>
  <c r="F28" l="1"/>
  <c r="H29"/>
  <c r="F27" l="1"/>
  <c r="H28"/>
  <c r="H27" l="1"/>
  <c r="F26"/>
  <c r="F25" l="1"/>
  <c r="H26"/>
  <c r="F24" l="1"/>
  <c r="H25"/>
  <c r="H20" s="1"/>
  <c r="H19" s="1"/>
  <c r="H24" l="1"/>
  <c r="F23"/>
  <c r="H23" l="1"/>
  <c r="F22"/>
  <c r="F21" l="1"/>
  <c r="F20" s="1"/>
  <c r="F19" s="1"/>
  <c r="F18" s="1"/>
  <c r="F16" s="1"/>
  <c r="H22"/>
</calcChain>
</file>

<file path=xl/sharedStrings.xml><?xml version="1.0" encoding="utf-8"?>
<sst xmlns="http://schemas.openxmlformats.org/spreadsheetml/2006/main" count="808" uniqueCount="527">
  <si>
    <t>Месячный отчет об исполнении бюджета</t>
  </si>
  <si>
    <t>на 01.05.05</t>
  </si>
  <si>
    <t>Периодичность: месячная</t>
  </si>
  <si>
    <t>Единица измерения: руб.</t>
  </si>
  <si>
    <t>Наименование показателя</t>
  </si>
  <si>
    <t>Исполнено</t>
  </si>
  <si>
    <t>Неисполненные назначения</t>
  </si>
  <si>
    <t>2. Расходы бюджета</t>
  </si>
  <si>
    <t>Лимиты бюджетных обязательств</t>
  </si>
  <si>
    <t>по ассигнованиям</t>
  </si>
  <si>
    <t>по лимитам бюджетных обязательств</t>
  </si>
  <si>
    <t>Заработная плата</t>
  </si>
  <si>
    <t>Услуги связи</t>
  </si>
  <si>
    <t xml:space="preserve">Транспортные услуги </t>
  </si>
  <si>
    <t>Коммунальные услуги</t>
  </si>
  <si>
    <t>Услуги по содержанию имущества</t>
  </si>
  <si>
    <t>Прочие услуги</t>
  </si>
  <si>
    <t>Прочие расходы</t>
  </si>
  <si>
    <t>Увеличение стоимости основных средств</t>
  </si>
  <si>
    <t>Перечисления другим бюджетам бюджетной системы Российской Федерации</t>
  </si>
  <si>
    <t>ВСЕГО</t>
  </si>
  <si>
    <t xml:space="preserve">Заработная плата </t>
  </si>
  <si>
    <t>на компенсацию расходов по оплате стоимости проезда и провоза багажа к месту использования отпуска и обратно</t>
  </si>
  <si>
    <t>суточные при служебных командировках и командировках на курсы повышения квалификации</t>
  </si>
  <si>
    <t>потребление электроэнергии</t>
  </si>
  <si>
    <t>водоснабжение</t>
  </si>
  <si>
    <t>Увеличение стоимости материальных запасов - ГСМ</t>
  </si>
  <si>
    <t>Коммун. услуги в потребление тепловой энергии</t>
  </si>
  <si>
    <t>код строки</t>
  </si>
  <si>
    <t>2</t>
  </si>
  <si>
    <t>3. Источники финансирования дефицитов бюджетов</t>
  </si>
  <si>
    <t xml:space="preserve"> Наименование показателя</t>
  </si>
  <si>
    <t>Код
стро-
ки</t>
  </si>
  <si>
    <t>Утвержденные бюджетные назначения</t>
  </si>
  <si>
    <t>через финансовые органы</t>
  </si>
  <si>
    <t xml:space="preserve">через банковские счета </t>
  </si>
  <si>
    <t>некассовые операции</t>
  </si>
  <si>
    <t>итого</t>
  </si>
  <si>
    <t>1</t>
  </si>
  <si>
    <t>3</t>
  </si>
  <si>
    <t>Источники финансирования дефицита бюджетов - всего</t>
  </si>
  <si>
    <t>х</t>
  </si>
  <si>
    <t>-</t>
  </si>
  <si>
    <t>в том числе:</t>
  </si>
  <si>
    <t>Источники внутреннего финансирования бюджетов</t>
  </si>
  <si>
    <t xml:space="preserve">   из них:</t>
  </si>
  <si>
    <t>Источники внешнего финансирования бюджетов</t>
  </si>
  <si>
    <t xml:space="preserve">   из них</t>
  </si>
  <si>
    <t>Изменение остатков средств</t>
  </si>
  <si>
    <t>Изменение остатков по расчетам          (стр.810 + 820)</t>
  </si>
  <si>
    <t>изменение остатков по расчетам с органами, организующими исполнение бюджетов
(стр.811 + 812)</t>
  </si>
  <si>
    <t>увеличение счетов расчетов (дебетовый остаток счета 121002000)</t>
  </si>
  <si>
    <t>уменьшение счетов расчетов (кредитовый остаток счета 130405000)</t>
  </si>
  <si>
    <t>Изменение остатков по внутренним расчетам (стр.821 + стр. 822)</t>
  </si>
  <si>
    <t xml:space="preserve">  в том числе:</t>
  </si>
  <si>
    <t>увеличение остатков по внутренним расчетам</t>
  </si>
  <si>
    <t xml:space="preserve">уменьшение остатков по внутренним расчетам </t>
  </si>
  <si>
    <t>А.Н. Саенко</t>
  </si>
  <si>
    <t>03145224891500310000</t>
  </si>
  <si>
    <t>03149224801500310000</t>
  </si>
  <si>
    <t>СВОД</t>
  </si>
  <si>
    <t>211010</t>
  </si>
  <si>
    <t>211020</t>
  </si>
  <si>
    <t>212010</t>
  </si>
  <si>
    <t>212020</t>
  </si>
  <si>
    <t>213010</t>
  </si>
  <si>
    <t>213020</t>
  </si>
  <si>
    <t>222000</t>
  </si>
  <si>
    <t>223010</t>
  </si>
  <si>
    <t>223020</t>
  </si>
  <si>
    <t>223030</t>
  </si>
  <si>
    <t>225020</t>
  </si>
  <si>
    <t>290000</t>
  </si>
  <si>
    <t>310000</t>
  </si>
  <si>
    <t>340030</t>
  </si>
  <si>
    <t>340050</t>
  </si>
  <si>
    <t>251000</t>
  </si>
  <si>
    <t>итого  213</t>
  </si>
  <si>
    <t>итого 211</t>
  </si>
  <si>
    <t>итого 212</t>
  </si>
  <si>
    <t>итого 223</t>
  </si>
  <si>
    <t>итого 340</t>
  </si>
  <si>
    <t>итого 213</t>
  </si>
  <si>
    <t>01028770101500211010</t>
  </si>
  <si>
    <t>01028770101500213010</t>
  </si>
  <si>
    <t>01028770101500213020</t>
  </si>
  <si>
    <t>01020000000500211010</t>
  </si>
  <si>
    <t>01020000000500212010</t>
  </si>
  <si>
    <t>01020000000500213010</t>
  </si>
  <si>
    <t>01020000000500213020</t>
  </si>
  <si>
    <t>Итого 0102 8770101:</t>
  </si>
  <si>
    <t>01048770101500211010</t>
  </si>
  <si>
    <t>01048770101500213010</t>
  </si>
  <si>
    <t>01048770101500213020</t>
  </si>
  <si>
    <t>ВСЕГО по разделу 01 02</t>
  </si>
  <si>
    <t>СВОД 0102</t>
  </si>
  <si>
    <t>08014409201001241021</t>
  </si>
  <si>
    <t xml:space="preserve"> - страховые взносы в федеральный бюджет (22%)</t>
  </si>
  <si>
    <t xml:space="preserve"> - страховые взносы в прочие фонды (8,2%)</t>
  </si>
  <si>
    <t>241000</t>
  </si>
  <si>
    <t>225010</t>
  </si>
  <si>
    <t>Прочие расходы (Резервный фонд)</t>
  </si>
  <si>
    <t>04070700400013226000</t>
  </si>
  <si>
    <t>с 01.10.2012</t>
  </si>
  <si>
    <t>01045226202500225020</t>
  </si>
  <si>
    <t>01047956015500225020</t>
  </si>
  <si>
    <t>04070700400013340030</t>
  </si>
  <si>
    <t>04070700400013340050</t>
  </si>
  <si>
    <t>ВСЕГО 0407</t>
  </si>
  <si>
    <t>01028650000500211010</t>
  </si>
  <si>
    <t>01028650000500213010</t>
  </si>
  <si>
    <t>01028650000500213020</t>
  </si>
  <si>
    <t>Итого 0102 8650000:</t>
  </si>
  <si>
    <t>Итого 0104 8770101500:</t>
  </si>
  <si>
    <t>прочие</t>
  </si>
  <si>
    <t>0310</t>
  </si>
  <si>
    <t>01130447514244310000</t>
  </si>
  <si>
    <t>02030445118122226000</t>
  </si>
  <si>
    <t>02030445118244310000</t>
  </si>
  <si>
    <t>08010110061611241023</t>
  </si>
  <si>
    <t>08010120061611241082</t>
  </si>
  <si>
    <t xml:space="preserve">Прочие услуги 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</si>
  <si>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</si>
  <si>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</si>
  <si>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</si>
  <si>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</si>
  <si>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</si>
  <si>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</si>
  <si>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0409</t>
  </si>
  <si>
    <t>НАЦИОНАЛЬНАЯ БЕЗОПАСНОСТЬ И ПРАВООХРАНИТЕЛЬНАЯ ДЕЯТЕЛЬНОСТЬ</t>
  </si>
  <si>
    <t>Обеспечение пожарной безопасности</t>
  </si>
  <si>
    <t>Оплата работ, услуг</t>
  </si>
  <si>
    <t>НАЦИОНАЛЬНАЯ ЭКОНОМИКА</t>
  </si>
  <si>
    <t>Дорожное хозяйство (дорожные фонды)</t>
  </si>
  <si>
    <t>ЖИЛИЩНО-КОММУНАЛЬНОЕ ХОЗЯЙСТВО</t>
  </si>
  <si>
    <t>Благоустройство</t>
  </si>
  <si>
    <t>Поступление нефинансовых активов</t>
  </si>
  <si>
    <t>Оплата труда и начисления на выплаты по оплате труда</t>
  </si>
  <si>
    <t>Начисления на выплаты по оплате труда</t>
  </si>
  <si>
    <t>Прочие выплаты</t>
  </si>
  <si>
    <t xml:space="preserve">000 0500 0000000 000 000 </t>
  </si>
  <si>
    <t xml:space="preserve">000 0104 0000000 000 220 </t>
  </si>
  <si>
    <t>Культура</t>
  </si>
  <si>
    <t>0801</t>
  </si>
  <si>
    <t>Резервный фонд</t>
  </si>
  <si>
    <t>0111</t>
  </si>
  <si>
    <t>0113</t>
  </si>
  <si>
    <t>02</t>
  </si>
  <si>
    <t>0203</t>
  </si>
  <si>
    <t>03</t>
  </si>
  <si>
    <t>04</t>
  </si>
  <si>
    <t>Физическая культура и спорт</t>
  </si>
  <si>
    <t>Массовый спорт</t>
  </si>
  <si>
    <t>1102</t>
  </si>
  <si>
    <t>11</t>
  </si>
  <si>
    <t>0104</t>
  </si>
  <si>
    <t>01</t>
  </si>
  <si>
    <t>0104 0344936 244 226010</t>
  </si>
  <si>
    <t>226010</t>
  </si>
  <si>
    <t>221010</t>
  </si>
  <si>
    <t>0104 0410021</t>
  </si>
  <si>
    <t>Функционирование органов местного самоуправления</t>
  </si>
  <si>
    <t>Итого МРОТ</t>
  </si>
  <si>
    <t>0104 0444936 244 226010</t>
  </si>
  <si>
    <t>0104 0447502 244 226010</t>
  </si>
  <si>
    <t>10001050201100000510</t>
  </si>
  <si>
    <t>10001050201100000610</t>
  </si>
  <si>
    <t xml:space="preserve">                        Форма 0503127  с.3</t>
  </si>
  <si>
    <t>0503</t>
  </si>
  <si>
    <t>ОТЧЕТ ОБ ИСПОЛНЕНИИ БЮДЖЕТА</t>
  </si>
  <si>
    <t>КОДЫ</t>
  </si>
  <si>
    <t xml:space="preserve">  Форма по ОКУД</t>
  </si>
  <si>
    <t xml:space="preserve">                   Дата</t>
  </si>
  <si>
    <t xml:space="preserve">             по ОКПО</t>
  </si>
  <si>
    <t>Наименование финансового органа:</t>
  </si>
  <si>
    <t>Финансовое управление администрации Кежемского района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</si>
  <si>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</si>
  <si>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</si>
  <si>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</si>
  <si>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годовая</t>
  </si>
  <si>
    <t xml:space="preserve">             по ОКЕИ</t>
  </si>
  <si>
    <t xml:space="preserve">                                 1. Доходы бюджета</t>
  </si>
  <si>
    <t>Код строки</t>
  </si>
  <si>
    <t>Код дохода по бюджетной классификации</t>
  </si>
  <si>
    <t xml:space="preserve">Утвержденные бюджетные назначения на год </t>
  </si>
  <si>
    <t>Доходы бюджета - всего</t>
  </si>
  <si>
    <t>X</t>
  </si>
  <si>
    <t>НАЛОГОВЫЕ И НЕНАЛОГОВЫЕ ДОХОДЫ</t>
  </si>
  <si>
    <t>000 10000000000000 000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</si>
  <si>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</si>
  <si>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</si>
  <si>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</si>
  <si>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платежа)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</si>
  <si>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</si>
  <si>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</si>
  <si>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</si>
  <si>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</si>
  <si>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Налог на доходы физических лиц с доходов, полученных физическими лицамив соответствии со статьей 228 Налогового кодекса Российской Федерации (сумма денежныхвзысканий (штрафов) по соответствующему платежу согласно законодательству Российской Федерации)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</si>
  <si>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</si>
  <si>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</si>
  <si>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</si>
  <si>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</si>
  <si>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</si>
  <si>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(пени, проценты)</t>
  </si>
  <si>
    <t>Налог на имущество физических лиц, взимаемый по ставкам , применяемым к объектам налогообложения, расположенным в границах поселений (прочие поступления)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</si>
  <si>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</si>
  <si>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</si>
  <si>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</si>
  <si>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</si>
  <si>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</si>
  <si>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муниципальной собственности</t>
  </si>
  <si>
    <t>Невыясненные доходы бюджетов поселений</t>
  </si>
  <si>
    <t>Прочие неналоговые доходы бюджетов поселений</t>
  </si>
  <si>
    <t>Средства самообложения граждан, зачисляемые в бюджеты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</si>
  <si>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</si>
  <si>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</si>
  <si>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</si>
  <si>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</si>
  <si>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поселений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</si>
  <si>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</si>
  <si>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Межбюджетные трансферты на переселение граждан из аварийного жилищного фонда в муниципальных образованиях Красноярского края на 2013-2015 годы</t>
  </si>
  <si>
    <t>Межбюджетные трансферты на  энергосбережение и повышение энергетической эффективности в Красноярском крае на 2010-2012 г. и на период до 2020 г. в части расходов на реализацию мероприятий по энергосбережению и повышению энергетической эффективности   в связи с достижением наилучших показателей в области энергосбережения</t>
  </si>
  <si>
    <t>Межбюджетные трансферты  на подготовку генеральных планов городских и сельских поселений, на разработку проектов планировки и межевания земельных участков для жилищного строительства, формирование и постановку земельных участков на кадастровый учет в рамках подпрограммы "Стимулирование жилищного строительства на территории Красноярского края" государственной программы Красноярского края "Создание условий для обеспечения доступным  и комфортным жильем граждан Красноярского края"</t>
  </si>
  <si>
    <t>Межбюдетные трансферты на реализацию проектов по благоустройству территорий поселений  в рамках подпрограммы «Поддержка муниципальных проектов и мероприятий по благоустройству территорий» государственной программы Красноярского края «Содействие развитию местного самоуправления»</t>
  </si>
  <si>
    <t>0503127</t>
  </si>
  <si>
    <t/>
  </si>
  <si>
    <t>900</t>
  </si>
  <si>
    <t>04624407</t>
  </si>
  <si>
    <t>383</t>
  </si>
  <si>
    <t>4</t>
  </si>
  <si>
    <t>5</t>
  </si>
  <si>
    <t>6</t>
  </si>
  <si>
    <t>010</t>
  </si>
  <si>
    <t>182 10100000000000 000</t>
  </si>
  <si>
    <t>182 10102000010000 110</t>
  </si>
  <si>
    <t>182 10102010010000 110</t>
  </si>
  <si>
    <t>182 10102010011000 110</t>
  </si>
  <si>
    <t>182 10102010013000 110</t>
  </si>
  <si>
    <t>182 10102020010000 110</t>
  </si>
  <si>
    <t>182 10102020011000 110</t>
  </si>
  <si>
    <t>182 10102020012000 110</t>
  </si>
  <si>
    <t>182 10102030010000 110</t>
  </si>
  <si>
    <t>182 10102030011000 110</t>
  </si>
  <si>
    <t>182 10102030012000 110</t>
  </si>
  <si>
    <t>182 10102030013000 110</t>
  </si>
  <si>
    <t>100 10300000000000 000</t>
  </si>
  <si>
    <t>100 10302000010000 110</t>
  </si>
  <si>
    <t>100 10302230010000 110</t>
  </si>
  <si>
    <t>100 10302240010000 110</t>
  </si>
  <si>
    <t>100 10302250010000 110</t>
  </si>
  <si>
    <t>100 10302260010000 110</t>
  </si>
  <si>
    <t>182 10600000000000 000</t>
  </si>
  <si>
    <t>182 10601000000000 110</t>
  </si>
  <si>
    <t>182 10601030100000 110</t>
  </si>
  <si>
    <t>182 10601030101000 110</t>
  </si>
  <si>
    <t>182 10601030104000 110</t>
  </si>
  <si>
    <t>182 10606000000000 110</t>
  </si>
  <si>
    <t>182 10606013102000 110</t>
  </si>
  <si>
    <t>807 10800000000000 000</t>
  </si>
  <si>
    <t>807 10804000010000 110</t>
  </si>
  <si>
    <t>807 10804020010000 110</t>
  </si>
  <si>
    <t>807 10804020011000 110</t>
  </si>
  <si>
    <t>903 11105013101000 120</t>
  </si>
  <si>
    <t>807 11701050100000 180</t>
  </si>
  <si>
    <t>807 11705050100000 180</t>
  </si>
  <si>
    <t>807 11714030100000 180</t>
  </si>
  <si>
    <t>807 20000000000000 000</t>
  </si>
  <si>
    <t>807 20200000000000 000</t>
  </si>
  <si>
    <t>807 20201000000000 151</t>
  </si>
  <si>
    <t>807 20201001000000 151</t>
  </si>
  <si>
    <t>807 20201001100000 151</t>
  </si>
  <si>
    <t>807 20203000000000 151</t>
  </si>
  <si>
    <t>807 20204999100039 151</t>
  </si>
  <si>
    <t>807 20204999100040 151</t>
  </si>
  <si>
    <t>807 20204999100045 151</t>
  </si>
  <si>
    <t>807 20204999100046 151</t>
  </si>
  <si>
    <r>
      <rPr>
        <b/>
        <sz val="10"/>
        <rFont val="Times New Roman"/>
        <family val="1"/>
        <charset val="204"/>
      </rPr>
      <t>Непрограмные расходы</t>
    </r>
    <r>
      <rPr>
        <sz val="10"/>
        <rFont val="Times New Roman"/>
        <family val="1"/>
        <charset val="204"/>
      </rPr>
      <t xml:space="preserve">   на реализацию мероприятий по энергосбережению и повышению энергетической эффективности в связи с достижением наилучших показателей в области энергосбережения в рамках подпрограммы "Энергосбережение и повышение энергетической эффективности в Красноярском крае государственной программы Красноярского края "Реформирование и модернизация жилищно коммунального хозяйства и повышение энергетической эффективности"</t>
    </r>
  </si>
  <si>
    <t xml:space="preserve">     Форма 0503127  </t>
  </si>
  <si>
    <t>182 10606033101000 110</t>
  </si>
  <si>
    <t>182 10601030102100 110</t>
  </si>
  <si>
    <t>182 10606043101000 110</t>
  </si>
  <si>
    <t>182 10606043102100 110</t>
  </si>
  <si>
    <t>Невыясненные поступления, зачисляемые в бюджеты поселений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</si>
  <si>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</si>
  <si>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</si>
  <si>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</si>
  <si>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</si>
  <si>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</si>
  <si>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</si>
  <si>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900 11701050100000 180</t>
  </si>
  <si>
    <t>0106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</si>
  <si>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</si>
  <si>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</si>
  <si>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</si>
  <si>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</si>
  <si>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</si>
  <si>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04095486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</si>
  <si>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денежных взысканий (штрафов) по соответствующему платежу в том числе по отмененному)</t>
  </si>
  <si>
    <t>807 11632000100000 140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</si>
  <si>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</si>
  <si>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Прочие неналоговые доходы бюджетов сельских поселений</t>
  </si>
  <si>
    <t>161 11633050106000 140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</si>
  <si>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</si>
  <si>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182 10606043104000 110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</si>
  <si>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</si>
  <si>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</si>
  <si>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</si>
  <si>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807 20203015100000 151</t>
  </si>
  <si>
    <t>807 20203015000000 151</t>
  </si>
  <si>
    <t>807 20203024000000 151</t>
  </si>
  <si>
    <t>Прочие межбюджетные трансферты, передаваемые бюджетам  сельских поселений</t>
  </si>
  <si>
    <t>807 20204999100000 151</t>
  </si>
  <si>
    <t xml:space="preserve">Прочие межбюджетные трансферты, передаваемые бюджетам </t>
  </si>
  <si>
    <t>807 20204999000000 151</t>
  </si>
  <si>
    <t xml:space="preserve">Иные межбюджетные трансферты </t>
  </si>
  <si>
    <t>807 20204000000000 151</t>
  </si>
  <si>
    <t>Коммунальное хозяйство</t>
  </si>
  <si>
    <t>0502</t>
  </si>
  <si>
    <t>Поддержка жилищно-коммунального хозяйства</t>
  </si>
  <si>
    <t xml:space="preserve">000 0502 0000000 000 000 </t>
  </si>
  <si>
    <t>Поддержка коммунального хозяйства</t>
  </si>
  <si>
    <t xml:space="preserve">000 0502 3000000 000 000 </t>
  </si>
  <si>
    <t>Обеспечение функционирования муниципальных органов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</si>
  <si>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 для нужд поселений  (федеральные государственные органы)</t>
  </si>
  <si>
    <t>530000</t>
  </si>
  <si>
    <t>В.И. Качин</t>
  </si>
  <si>
    <t>Межбюджетные трансферты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в рамках подпрограммы "Обеспечение условий реализации государственной программы и прочие мероприятия" государственной программы "Развитие культуры"</t>
  </si>
  <si>
    <t>807 20204999100051 151</t>
  </si>
  <si>
    <t>0102</t>
  </si>
  <si>
    <t>Субвенции бюджетам на выполнение государственных полномочий по созданию и обеспечению деятельности административных комиссий в рамках непрограмных расходов органов судебной власти</t>
  </si>
  <si>
    <t>807 20203024107514 151</t>
  </si>
  <si>
    <t>Иные межбюджетные трансферты на поддержку мер по обеспечению сбалансированности бюджетов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края" государственной программы Красноярского края "Управление государственными финансами"</t>
  </si>
  <si>
    <t>807 20204999100053 151</t>
  </si>
  <si>
    <t>0124536</t>
  </si>
  <si>
    <t>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</t>
  </si>
  <si>
    <t>через банковские счета</t>
  </si>
  <si>
    <t>ИТОГО</t>
  </si>
  <si>
    <t>7</t>
  </si>
  <si>
    <t>8</t>
  </si>
  <si>
    <t>9</t>
  </si>
  <si>
    <t>Бюджет Недокурского сельсовета Кежемского района Красноярского края</t>
  </si>
  <si>
    <t>Расходы бюджета- всего</t>
  </si>
  <si>
    <t>200</t>
  </si>
  <si>
    <t>Код расхода по бюджетной классификации</t>
  </si>
  <si>
    <t>Результат исполнения бюджета                      (дефицит/профицит)</t>
  </si>
  <si>
    <t>Руководитель финансово-</t>
  </si>
  <si>
    <t>экономической службы</t>
  </si>
  <si>
    <t>(подпись)</t>
  </si>
  <si>
    <t>(расшифровка подписи)</t>
  </si>
  <si>
    <t>________________</t>
  </si>
  <si>
    <t>_________________________</t>
  </si>
  <si>
    <t>Глава администрации _____________</t>
  </si>
  <si>
    <t>Главный бухгалтер _______________</t>
  </si>
  <si>
    <t>Код источника финансирования по  бюджетной классификации</t>
  </si>
  <si>
    <t>0102 0410000220 121 211010</t>
  </si>
  <si>
    <t>0102 0410000220 129 213010</t>
  </si>
  <si>
    <t>0102 0410000220 129 213020</t>
  </si>
  <si>
    <t xml:space="preserve"> 0102 0000000000 000 210 </t>
  </si>
  <si>
    <t xml:space="preserve"> 0104 0000000000 000 210 </t>
  </si>
  <si>
    <t>0104 0410000210 121 211010</t>
  </si>
  <si>
    <t>0104 0410000210 121 211020</t>
  </si>
  <si>
    <t>0104 0410000210 122 212010</t>
  </si>
  <si>
    <t>0104 0410000210 122 212020</t>
  </si>
  <si>
    <t>0104 0410000210 244 221010</t>
  </si>
  <si>
    <t>0104 0410000210 244 222000</t>
  </si>
  <si>
    <t>0104 0410000210 244 223010</t>
  </si>
  <si>
    <t>0104 0410000210 244 223020</t>
  </si>
  <si>
    <t>0104 0410000210 244 223030</t>
  </si>
  <si>
    <t>0104 0410000210 244 225020</t>
  </si>
  <si>
    <t>0104 0410000210 244 226010</t>
  </si>
  <si>
    <t>0104 0410000210 244 290000</t>
  </si>
  <si>
    <t>0104 0410000210 244 310000</t>
  </si>
  <si>
    <t>0104 0410000210 244 340030</t>
  </si>
  <si>
    <t>0104 0410000210 244 340050</t>
  </si>
  <si>
    <t>0104 0410000210 852 290000</t>
  </si>
  <si>
    <t>0104 0410010210 121 211020</t>
  </si>
  <si>
    <t>0104 0410010210 129 213010</t>
  </si>
  <si>
    <t>0104 0410010210 129 213020</t>
  </si>
  <si>
    <t>0104 0410010210 000 000000</t>
  </si>
  <si>
    <t>0104 0410000210 129 213010</t>
  </si>
  <si>
    <t>0104 0410000210 129 213020</t>
  </si>
  <si>
    <t>0104 0410000210 122 212040</t>
  </si>
  <si>
    <t>0104 0410000210 122 212050</t>
  </si>
  <si>
    <t>0113 0440075140 244 340050</t>
  </si>
  <si>
    <t>0203 0440051180 121 211010</t>
  </si>
  <si>
    <t>0203 0440051180 122 212020</t>
  </si>
  <si>
    <t>0203 0440051180 129 213010</t>
  </si>
  <si>
    <t>0203 0440051180 129 213020</t>
  </si>
  <si>
    <t>0203 0440051180 122 212040</t>
  </si>
  <si>
    <t>0203 0440051180 122 212050</t>
  </si>
  <si>
    <t>0203 0440051180 244 225020</t>
  </si>
  <si>
    <t>0203 0440051180 244 226010</t>
  </si>
  <si>
    <t>0203 0440051180 244 310000</t>
  </si>
  <si>
    <t>0203 0440051180 244 340050</t>
  </si>
  <si>
    <t>0106 0450048010 540 251000</t>
  </si>
  <si>
    <t>0107 0420049120 880 290000</t>
  </si>
  <si>
    <t>0111 0430010110 870 290000</t>
  </si>
  <si>
    <t>0310 0420049580 244 226010</t>
  </si>
  <si>
    <t>0409 0320049080 244 225020</t>
  </si>
  <si>
    <t>0503 0330049010 244 223020</t>
  </si>
  <si>
    <t>0503 0330049050 244 226010</t>
  </si>
  <si>
    <t>0503 0330049040 244 226010</t>
  </si>
  <si>
    <t xml:space="preserve">000 0503 0000000000 000 220 </t>
  </si>
  <si>
    <t xml:space="preserve">000 0503 0000000000 000 000 </t>
  </si>
  <si>
    <t>1102 0200000610 611 241010</t>
  </si>
  <si>
    <t>1102 0200000610 611 241031</t>
  </si>
  <si>
    <t>1102 0200000610 611 241032</t>
  </si>
  <si>
    <t>1102 0200000610 611 241040</t>
  </si>
  <si>
    <t>1102 0200000610 611 241090</t>
  </si>
  <si>
    <t>1102 0200000610 611 241110</t>
  </si>
  <si>
    <t>1102 0200000610 611 241120</t>
  </si>
  <si>
    <t>1102 0200000610 611 241135</t>
  </si>
  <si>
    <t>оплата труда работников</t>
  </si>
  <si>
    <t>1102 0200000610 611 241000</t>
  </si>
  <si>
    <t xml:space="preserve">оплата труда работников </t>
  </si>
  <si>
    <t>0801 0110000610 611 241010</t>
  </si>
  <si>
    <t>0801 0110000610 611 241021</t>
  </si>
  <si>
    <t>0801 0110000610 611 241022</t>
  </si>
  <si>
    <t>0801 0110000610 611 241031</t>
  </si>
  <si>
    <t>0801 0110000610 611 241032</t>
  </si>
  <si>
    <t>0801 0110000610 611 241040</t>
  </si>
  <si>
    <t>0801 0110000610 611 241050</t>
  </si>
  <si>
    <t>0801 0110000610 611 241061</t>
  </si>
  <si>
    <t>0801 0110000610 611 241062</t>
  </si>
  <si>
    <t>0801 0110000610 611 241063</t>
  </si>
  <si>
    <t>0801 0110000610 611 241082</t>
  </si>
  <si>
    <t>0801 0110000610 611 241090</t>
  </si>
  <si>
    <t>0801 0110000610 611 241110</t>
  </si>
  <si>
    <t>0801 0110000610 611 241120</t>
  </si>
  <si>
    <t>0801 0110000610 611 241135</t>
  </si>
  <si>
    <t>0801 0110010210 611 241010</t>
  </si>
  <si>
    <t>0801 0110010210 611 241031</t>
  </si>
  <si>
    <t>0801 0110010210 611 241032</t>
  </si>
  <si>
    <t>0801 0120000610 611 241010</t>
  </si>
  <si>
    <t>0801 0120000610 611 241022</t>
  </si>
  <si>
    <t>0801 0120000610 611 241031</t>
  </si>
  <si>
    <t>0801 0120000610 611 241032</t>
  </si>
  <si>
    <t>0801 0120000610 611 241040</t>
  </si>
  <si>
    <t>0801 0120000610 611 241050</t>
  </si>
  <si>
    <t>0801 0120000610 611 241082</t>
  </si>
  <si>
    <t>0801 0120000610 611 241090</t>
  </si>
  <si>
    <t>0801 0120000610 611 241110</t>
  </si>
  <si>
    <t>0801 0120000610 611 241120</t>
  </si>
  <si>
    <t>0801 0120000610 611 241135</t>
  </si>
  <si>
    <t>0801 0120051460 612 241040</t>
  </si>
  <si>
    <t>0801 0120051460 612 241120</t>
  </si>
  <si>
    <t>0801 0120045360 611 241040</t>
  </si>
  <si>
    <t>0801 0120045360 611 241090</t>
  </si>
  <si>
    <t>0801 0120045360 611 241120</t>
  </si>
  <si>
    <t>0804 0130044030 111 211020</t>
  </si>
  <si>
    <t>0804 0130044030 112 212010</t>
  </si>
  <si>
    <t>0804 0130044030 112 212020</t>
  </si>
  <si>
    <t>0804 0130044030 244 221010</t>
  </si>
  <si>
    <t>0804 0130044030 244 225020</t>
  </si>
  <si>
    <t>0804 0130044030 244 226010</t>
  </si>
  <si>
    <t>0804 0130044030 244 340050</t>
  </si>
  <si>
    <t xml:space="preserve">000 0804 0000000000 000 210 </t>
  </si>
  <si>
    <t xml:space="preserve">000 0804 0000000000 000 000 </t>
  </si>
  <si>
    <t xml:space="preserve">000 0800 0000000000 000 000 </t>
  </si>
  <si>
    <t>0804 0130044030 112 212050</t>
  </si>
  <si>
    <t>0804 0130044030 119 213010</t>
  </si>
  <si>
    <t>0804 0130044030 119 213020</t>
  </si>
  <si>
    <t xml:space="preserve">Обеспечение деятельности (оказание услуг) подведомственных учреждений в рамках подпрограммы "  "Создание уловий для организации досуга и обеспечение жителей сельсовета услугами организации культуры" муниципальной программы  "Развитие культуры  муниципального образования Недокурский  сельсовет" </t>
  </si>
  <si>
    <t>Обеспечение деятельности (оказание услуг) подведомственных учреждений в рамках подпрограммы    "Организация  и развитие  библиотечного обслуживания населения,  обеспечение  прав граждан на свободный доступ к информации" муниципальной программы"Развитие культуры  муниципального  образования Недокурский сельсовет "</t>
  </si>
  <si>
    <t>0804 0130044030 112 212040</t>
  </si>
  <si>
    <t>Культура, кинематография и средства массовой информации</t>
  </si>
  <si>
    <t>Другие вопросы в области культуры, кинематографии и средств массовой информации</t>
  </si>
  <si>
    <t>Итого начисления на выплаты по оплате труда</t>
  </si>
  <si>
    <t>212040</t>
  </si>
  <si>
    <t>212050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</si>
  <si>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денежных взысканий (штрафов) по соответствующему платежу согласно законодательству Российской Федерации)</t>
  </si>
  <si>
    <t>0409 0320074920 244 226010</t>
  </si>
  <si>
    <t>0409 0320073930 244 226010</t>
  </si>
  <si>
    <t>0409 0320073930 244 225020</t>
  </si>
  <si>
    <t xml:space="preserve">Межбюджетные трансферты 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 в рамках подпрограммы  «Дороги Красноярья» государственной программы Красноярского края «Развитие транспортной системы» </t>
  </si>
  <si>
    <t>Безвозмездные перечисления государственным и муниципальным организациям</t>
  </si>
  <si>
    <t>Увеличение стоимости акций и иных форм участия в капитале</t>
  </si>
  <si>
    <t>0503 0330049050 244 340050</t>
  </si>
  <si>
    <t>0409 03200S3930 244 225020</t>
  </si>
  <si>
    <t>0409 03200S4920 244 226010</t>
  </si>
  <si>
    <t>Заработная плата муниципальных служащих</t>
  </si>
  <si>
    <t>оплата труда работников по  НСОТ</t>
  </si>
  <si>
    <t>Прочие межбюджетные трансферты  на обустройство пешеходных переходов и нанесение дорожной разметки на автомобильных дорогах общего пользования местного значения в рамках подпрограммы "Повышение безопасности дорожного движения в Красноярском крае" государственной программы Красноярского края " Развитие транспортной системы"</t>
  </si>
  <si>
    <t>807 20204999100057 151</t>
  </si>
  <si>
    <t>807 20204999100055 151</t>
  </si>
  <si>
    <t>182 10606033103000 110</t>
  </si>
  <si>
    <t>0104 0410000210 853 290000</t>
  </si>
  <si>
    <t>807 21805010100000 180</t>
  </si>
  <si>
    <t>Доходы бюджжетов сельских поселений от возврата бюджетными учреждениями остатков субсидий прошлых лет</t>
  </si>
  <si>
    <t>Другие вопросы в области жилищно-коммунального хозяйства</t>
  </si>
  <si>
    <t>0505</t>
  </si>
  <si>
    <t>0503 0460046040 244 226010</t>
  </si>
  <si>
    <t>0801 0110051470 612 241010</t>
  </si>
  <si>
    <t>0801 0110051470 612 241031</t>
  </si>
  <si>
    <t>0801 0110051470 612 241032</t>
  </si>
  <si>
    <t>0801 0110051470 612 241120</t>
  </si>
  <si>
    <t>Иные цели</t>
  </si>
  <si>
    <t>0051470</t>
  </si>
  <si>
    <t>0051460</t>
  </si>
  <si>
    <t>0502 0420043130 452 530000</t>
  </si>
  <si>
    <t>807 20204999100052 151</t>
  </si>
  <si>
    <t>Прочие межбюджетные трансферты на поддержку муниципальных учреждений культуры в рамках подпрограммы "Обеспечение условий реализациии государственной программы и прочие мероприятия" государственной программы Красноярского края "Развитие культуры и туризма"</t>
  </si>
  <si>
    <t>0310 04200S4120 244 340050</t>
  </si>
  <si>
    <t>0310 0420074120 244 340050</t>
  </si>
  <si>
    <t>Увеличение стоимости прочих расходных материалов и предметов снабжения</t>
  </si>
  <si>
    <t>Прочие межбюджетные трансферты на обеспечение первичных мер пожарной безопасности в рамках подпрограммы "Предупреждение, спасение, помощь населению края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</si>
  <si>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>807 20204999100059 151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</si>
  <si>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</si>
  <si>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0409 03200S3930 244 226010</t>
  </si>
  <si>
    <t>182 10102010012100 110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</si>
  <si>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</si>
  <si>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Прочие межбюджетные трансферты, передаваемые бюджетам сельских поселений на реализацию проектов по благоустройству территорий поселений  в рамках подпрограммы «Поддержка муниципальных проектов и мероприятий по благоустройству территорий» государственной программы Красноярского края «Содействие развитию местного самоуправления»</t>
  </si>
  <si>
    <t>0503 0330077410 244 226010</t>
  </si>
  <si>
    <t>182 10606033102100 110</t>
  </si>
  <si>
    <t>0505 0420048110 540 251000</t>
  </si>
  <si>
    <t>0503 03300S7410 244 226010</t>
  </si>
  <si>
    <t>0801 0120010210 611 241010</t>
  </si>
  <si>
    <t>0801 0120010210 611 241031</t>
  </si>
  <si>
    <t>0801 0120010210 611 241032</t>
  </si>
  <si>
    <t>0120010210</t>
  </si>
  <si>
    <t>0120051460</t>
  </si>
  <si>
    <t>10210</t>
  </si>
  <si>
    <t>0104 0410000210 122 212030</t>
  </si>
  <si>
    <t>на 01 октября 2016 г.</t>
  </si>
  <si>
    <t>05 октября  2016 г.</t>
  </si>
  <si>
    <t>182 10904053102100 110</t>
  </si>
  <si>
    <t>212030</t>
  </si>
</sst>
</file>

<file path=xl/styles.xml><?xml version="1.0" encoding="utf-8"?>
<styleSheet xmlns="http://schemas.openxmlformats.org/spreadsheetml/2006/main">
  <numFmts count="4">
    <numFmt numFmtId="164" formatCode="_-* #,##0.00_$_-;\-* #,##0.00_$_-;_-* &quot;-&quot;??_$_-;_-@_-"/>
    <numFmt numFmtId="165" formatCode="000"/>
    <numFmt numFmtId="166" formatCode="dd/mm/yyyy\ &quot;г.&quot;"/>
    <numFmt numFmtId="167" formatCode="?"/>
  </numFmts>
  <fonts count="4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53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indexed="53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9"/>
      <name val="Arial Cyr"/>
      <charset val="204"/>
    </font>
    <font>
      <u/>
      <sz val="9"/>
      <name val="Arial Cyr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53"/>
      <name val="Times New Roman"/>
      <family val="1"/>
      <charset val="204"/>
    </font>
    <font>
      <b/>
      <i/>
      <sz val="12"/>
      <color indexed="53"/>
      <name val="Times New Roman"/>
      <family val="1"/>
      <charset val="204"/>
    </font>
    <font>
      <b/>
      <sz val="12"/>
      <color indexed="53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3"/>
      <color indexed="53"/>
      <name val="Times New Roman"/>
      <family val="1"/>
      <charset val="204"/>
    </font>
    <font>
      <b/>
      <i/>
      <sz val="13"/>
      <color indexed="53"/>
      <name val="Times New Roman"/>
      <family val="1"/>
      <charset val="204"/>
    </font>
    <font>
      <b/>
      <sz val="13"/>
      <color indexed="53"/>
      <name val="Times New Roman"/>
      <family val="1"/>
      <charset val="204"/>
    </font>
    <font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5">
    <xf numFmtId="0" fontId="0" fillId="0" borderId="0" xfId="0"/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165" fontId="2" fillId="0" borderId="0" xfId="0" applyNumberFormat="1" applyFont="1" applyAlignment="1">
      <alignment horizontal="right" vertical="top"/>
    </xf>
    <xf numFmtId="4" fontId="2" fillId="0" borderId="0" xfId="0" applyNumberFormat="1" applyFont="1" applyAlignment="1">
      <alignment horizontal="right" vertical="top"/>
    </xf>
    <xf numFmtId="49" fontId="0" fillId="0" borderId="0" xfId="0" applyNumberFormat="1" applyAlignment="1">
      <alignment vertical="center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/>
    </xf>
    <xf numFmtId="165" fontId="2" fillId="0" borderId="2" xfId="0" applyNumberFormat="1" applyFont="1" applyBorder="1" applyAlignment="1">
      <alignment horizontal="right" vertical="top"/>
    </xf>
    <xf numFmtId="49" fontId="2" fillId="0" borderId="2" xfId="0" applyNumberFormat="1" applyFont="1" applyBorder="1" applyAlignment="1">
      <alignment horizontal="left" vertical="top"/>
    </xf>
    <xf numFmtId="4" fontId="2" fillId="0" borderId="2" xfId="0" applyNumberFormat="1" applyFont="1" applyBorder="1" applyAlignment="1">
      <alignment horizontal="right" vertical="top"/>
    </xf>
    <xf numFmtId="49" fontId="2" fillId="0" borderId="2" xfId="0" applyNumberFormat="1" applyFont="1" applyBorder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165" fontId="5" fillId="0" borderId="0" xfId="0" applyNumberFormat="1" applyFont="1" applyAlignment="1">
      <alignment horizontal="right" vertical="top"/>
    </xf>
    <xf numFmtId="49" fontId="5" fillId="0" borderId="0" xfId="0" applyNumberFormat="1" applyFont="1" applyAlignment="1">
      <alignment horizontal="left" vertical="top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/>
    </xf>
    <xf numFmtId="4" fontId="5" fillId="0" borderId="2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centerContinuous"/>
    </xf>
    <xf numFmtId="2" fontId="0" fillId="0" borderId="0" xfId="0" applyNumberFormat="1"/>
    <xf numFmtId="2" fontId="8" fillId="0" borderId="0" xfId="0" applyNumberFormat="1" applyFont="1"/>
    <xf numFmtId="0" fontId="4" fillId="0" borderId="0" xfId="0" applyFont="1" applyAlignment="1">
      <alignment wrapText="1"/>
    </xf>
    <xf numFmtId="4" fontId="4" fillId="0" borderId="0" xfId="0" applyNumberFormat="1" applyFont="1"/>
    <xf numFmtId="165" fontId="6" fillId="0" borderId="2" xfId="0" applyNumberFormat="1" applyFont="1" applyFill="1" applyBorder="1" applyAlignment="1">
      <alignment horizontal="right" vertical="top"/>
    </xf>
    <xf numFmtId="0" fontId="6" fillId="0" borderId="0" xfId="0" applyFont="1" applyFill="1"/>
    <xf numFmtId="165" fontId="9" fillId="0" borderId="2" xfId="0" applyNumberFormat="1" applyFont="1" applyFill="1" applyBorder="1" applyAlignment="1">
      <alignment horizontal="right" vertical="top"/>
    </xf>
    <xf numFmtId="0" fontId="11" fillId="2" borderId="2" xfId="0" applyFont="1" applyFill="1" applyBorder="1" applyAlignment="1">
      <alignment horizontal="justify" wrapText="1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right"/>
    </xf>
    <xf numFmtId="49" fontId="9" fillId="0" borderId="5" xfId="0" applyNumberFormat="1" applyFont="1" applyBorder="1" applyAlignment="1">
      <alignment horizontal="centerContinuous"/>
    </xf>
    <xf numFmtId="166" fontId="9" fillId="0" borderId="6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horizontal="centerContinuous"/>
    </xf>
    <xf numFmtId="49" fontId="9" fillId="0" borderId="0" xfId="0" applyNumberFormat="1" applyFont="1" applyAlignment="1">
      <alignment horizontal="center" vertical="center"/>
    </xf>
    <xf numFmtId="49" fontId="9" fillId="0" borderId="8" xfId="0" applyNumberFormat="1" applyFont="1" applyBorder="1" applyAlignment="1">
      <alignment horizontal="centerContinuous"/>
    </xf>
    <xf numFmtId="0" fontId="7" fillId="0" borderId="0" xfId="0" applyFont="1" applyBorder="1" applyAlignment="1"/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wrapText="1"/>
    </xf>
    <xf numFmtId="49" fontId="7" fillId="0" borderId="2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wrapText="1"/>
    </xf>
    <xf numFmtId="49" fontId="9" fillId="0" borderId="2" xfId="0" applyNumberFormat="1" applyFont="1" applyBorder="1" applyAlignment="1">
      <alignment horizontal="center" wrapText="1"/>
    </xf>
    <xf numFmtId="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vertical="top" wrapText="1"/>
    </xf>
    <xf numFmtId="165" fontId="7" fillId="0" borderId="2" xfId="0" applyNumberFormat="1" applyFont="1" applyFill="1" applyBorder="1" applyAlignment="1">
      <alignment horizontal="right" vertical="top"/>
    </xf>
    <xf numFmtId="0" fontId="7" fillId="0" borderId="0" xfId="0" applyFont="1" applyFill="1"/>
    <xf numFmtId="49" fontId="7" fillId="0" borderId="0" xfId="0" applyNumberFormat="1" applyFont="1" applyFill="1" applyAlignment="1">
      <alignment horizontal="left"/>
    </xf>
    <xf numFmtId="49" fontId="7" fillId="0" borderId="0" xfId="0" applyNumberFormat="1" applyFont="1" applyFill="1" applyAlignment="1">
      <alignment horizontal="left" vertical="top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top" wrapText="1"/>
    </xf>
    <xf numFmtId="0" fontId="9" fillId="0" borderId="0" xfId="0" applyFont="1" applyFill="1"/>
    <xf numFmtId="0" fontId="14" fillId="0" borderId="2" xfId="0" applyFont="1" applyFill="1" applyBorder="1" applyAlignment="1">
      <alignment vertical="top" wrapText="1"/>
    </xf>
    <xf numFmtId="165" fontId="6" fillId="0" borderId="2" xfId="0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horizontal="center"/>
    </xf>
    <xf numFmtId="49" fontId="6" fillId="0" borderId="2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left" wrapText="1"/>
    </xf>
    <xf numFmtId="0" fontId="9" fillId="0" borderId="2" xfId="0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horizontal="center" wrapText="1"/>
    </xf>
    <xf numFmtId="0" fontId="14" fillId="0" borderId="9" xfId="0" applyFont="1" applyFill="1" applyBorder="1" applyAlignment="1">
      <alignment vertical="top" wrapText="1"/>
    </xf>
    <xf numFmtId="0" fontId="9" fillId="0" borderId="2" xfId="0" applyNumberFormat="1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justify"/>
    </xf>
    <xf numFmtId="49" fontId="7" fillId="0" borderId="2" xfId="0" applyNumberFormat="1" applyFont="1" applyFill="1" applyBorder="1" applyAlignment="1">
      <alignment horizontal="right" wrapText="1"/>
    </xf>
    <xf numFmtId="0" fontId="13" fillId="0" borderId="0" xfId="0" applyFont="1" applyFill="1" applyAlignment="1">
      <alignment horizontal="center"/>
    </xf>
    <xf numFmtId="49" fontId="7" fillId="0" borderId="2" xfId="0" applyNumberFormat="1" applyFont="1" applyFill="1" applyBorder="1" applyAlignment="1">
      <alignment horizontal="left" vertical="top" wrapText="1"/>
    </xf>
    <xf numFmtId="165" fontId="7" fillId="0" borderId="2" xfId="0" applyNumberFormat="1" applyFont="1" applyFill="1" applyBorder="1" applyAlignment="1">
      <alignment horizontal="center" vertical="top"/>
    </xf>
    <xf numFmtId="49" fontId="6" fillId="0" borderId="2" xfId="0" applyNumberFormat="1" applyFont="1" applyBorder="1" applyAlignment="1">
      <alignment horizontal="left" wrapText="1"/>
    </xf>
    <xf numFmtId="49" fontId="9" fillId="0" borderId="10" xfId="0" applyNumberFormat="1" applyFont="1" applyFill="1" applyBorder="1" applyAlignment="1">
      <alignment horizontal="left" vertical="top" wrapText="1"/>
    </xf>
    <xf numFmtId="0" fontId="15" fillId="0" borderId="0" xfId="0" applyFont="1" applyFill="1"/>
    <xf numFmtId="49" fontId="9" fillId="0" borderId="2" xfId="0" applyNumberFormat="1" applyFont="1" applyFill="1" applyBorder="1" applyAlignment="1">
      <alignment horizontal="left" wrapText="1"/>
    </xf>
    <xf numFmtId="49" fontId="16" fillId="0" borderId="2" xfId="0" applyNumberFormat="1" applyFont="1" applyFill="1" applyBorder="1" applyAlignment="1">
      <alignment horizontal="left" vertical="top" wrapText="1"/>
    </xf>
    <xf numFmtId="165" fontId="15" fillId="0" borderId="2" xfId="0" applyNumberFormat="1" applyFont="1" applyFill="1" applyBorder="1" applyAlignment="1">
      <alignment horizontal="right" vertical="top"/>
    </xf>
    <xf numFmtId="49" fontId="15" fillId="0" borderId="2" xfId="0" applyNumberFormat="1" applyFont="1" applyFill="1" applyBorder="1" applyAlignment="1">
      <alignment horizontal="left" wrapText="1"/>
    </xf>
    <xf numFmtId="0" fontId="12" fillId="0" borderId="2" xfId="0" applyFont="1" applyFill="1" applyBorder="1" applyAlignment="1">
      <alignment vertical="top" wrapText="1"/>
    </xf>
    <xf numFmtId="0" fontId="13" fillId="0" borderId="0" xfId="0" applyFont="1" applyFill="1"/>
    <xf numFmtId="49" fontId="7" fillId="0" borderId="10" xfId="0" applyNumberFormat="1" applyFont="1" applyFill="1" applyBorder="1" applyAlignment="1">
      <alignment horizontal="center" wrapText="1"/>
    </xf>
    <xf numFmtId="165" fontId="7" fillId="0" borderId="2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49" fontId="6" fillId="0" borderId="10" xfId="0" applyNumberFormat="1" applyFont="1" applyFill="1" applyBorder="1" applyAlignment="1">
      <alignment horizontal="center" vertical="top" wrapText="1"/>
    </xf>
    <xf numFmtId="165" fontId="9" fillId="0" borderId="2" xfId="0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horizontal="center"/>
    </xf>
    <xf numFmtId="0" fontId="14" fillId="0" borderId="10" xfId="0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49" fontId="9" fillId="0" borderId="0" xfId="0" applyNumberFormat="1" applyFont="1" applyFill="1" applyAlignment="1">
      <alignment horizontal="left" vertical="top" wrapText="1"/>
    </xf>
    <xf numFmtId="165" fontId="9" fillId="0" borderId="0" xfId="0" applyNumberFormat="1" applyFont="1" applyFill="1" applyAlignment="1">
      <alignment horizontal="right" vertical="top"/>
    </xf>
    <xf numFmtId="0" fontId="7" fillId="0" borderId="0" xfId="0" applyFont="1"/>
    <xf numFmtId="49" fontId="6" fillId="0" borderId="2" xfId="0" applyNumberFormat="1" applyFont="1" applyFill="1" applyBorder="1" applyAlignment="1">
      <alignment horizontal="left" vertical="top" wrapText="1"/>
    </xf>
    <xf numFmtId="165" fontId="13" fillId="0" borderId="2" xfId="0" applyNumberFormat="1" applyFont="1" applyFill="1" applyBorder="1" applyAlignment="1">
      <alignment horizontal="right" vertical="top"/>
    </xf>
    <xf numFmtId="49" fontId="13" fillId="0" borderId="2" xfId="0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49" fontId="9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left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Alignment="1">
      <alignment horizontal="left" vertical="top"/>
    </xf>
    <xf numFmtId="49" fontId="19" fillId="0" borderId="2" xfId="0" applyNumberFormat="1" applyFont="1" applyFill="1" applyBorder="1" applyAlignment="1">
      <alignment horizontal="left" vertical="top"/>
    </xf>
    <xf numFmtId="49" fontId="18" fillId="0" borderId="2" xfId="0" applyNumberFormat="1" applyFont="1" applyFill="1" applyBorder="1" applyAlignment="1">
      <alignment horizontal="left" vertical="top"/>
    </xf>
    <xf numFmtId="49" fontId="20" fillId="0" borderId="2" xfId="0" applyNumberFormat="1" applyFont="1" applyFill="1" applyBorder="1" applyAlignment="1">
      <alignment horizontal="left" vertical="top"/>
    </xf>
    <xf numFmtId="49" fontId="21" fillId="0" borderId="2" xfId="0" applyNumberFormat="1" applyFont="1" applyFill="1" applyBorder="1" applyAlignment="1">
      <alignment horizontal="left" vertical="top"/>
    </xf>
    <xf numFmtId="49" fontId="22" fillId="0" borderId="2" xfId="0" applyNumberFormat="1" applyFont="1" applyFill="1" applyBorder="1" applyAlignment="1">
      <alignment horizontal="left" vertical="top"/>
    </xf>
    <xf numFmtId="49" fontId="19" fillId="0" borderId="0" xfId="0" applyNumberFormat="1" applyFont="1" applyFill="1" applyAlignment="1">
      <alignment horizontal="left" vertical="top"/>
    </xf>
    <xf numFmtId="49" fontId="19" fillId="0" borderId="2" xfId="0" applyNumberFormat="1" applyFont="1" applyFill="1" applyBorder="1" applyAlignment="1">
      <alignment horizontal="left" vertical="top" wrapText="1"/>
    </xf>
    <xf numFmtId="49" fontId="18" fillId="0" borderId="2" xfId="0" applyNumberFormat="1" applyFont="1" applyFill="1" applyBorder="1" applyAlignment="1">
      <alignment horizontal="left" vertical="top" wrapText="1"/>
    </xf>
    <xf numFmtId="49" fontId="19" fillId="0" borderId="2" xfId="0" applyNumberFormat="1" applyFont="1" applyBorder="1" applyAlignment="1">
      <alignment horizontal="left" vertical="top"/>
    </xf>
    <xf numFmtId="49" fontId="19" fillId="0" borderId="10" xfId="0" applyNumberFormat="1" applyFont="1" applyBorder="1" applyAlignment="1">
      <alignment horizontal="left" vertical="top"/>
    </xf>
    <xf numFmtId="49" fontId="9" fillId="0" borderId="0" xfId="0" applyNumberFormat="1" applyFont="1" applyFill="1" applyAlignment="1">
      <alignment horizontal="left"/>
    </xf>
    <xf numFmtId="4" fontId="9" fillId="0" borderId="0" xfId="0" applyNumberFormat="1" applyFont="1" applyFill="1" applyAlignment="1">
      <alignment horizontal="left" vertical="top"/>
    </xf>
    <xf numFmtId="49" fontId="19" fillId="0" borderId="2" xfId="0" applyNumberFormat="1" applyFont="1" applyFill="1" applyBorder="1" applyAlignment="1">
      <alignment horizontal="center" wrapText="1"/>
    </xf>
    <xf numFmtId="49" fontId="19" fillId="0" borderId="0" xfId="0" applyNumberFormat="1" applyFont="1" applyFill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24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right" vertical="top" wrapText="1"/>
    </xf>
    <xf numFmtId="165" fontId="10" fillId="0" borderId="2" xfId="0" applyNumberFormat="1" applyFont="1" applyBorder="1" applyAlignment="1">
      <alignment horizontal="right" vertical="top"/>
    </xf>
    <xf numFmtId="49" fontId="10" fillId="0" borderId="2" xfId="0" applyNumberFormat="1" applyFont="1" applyBorder="1" applyAlignment="1">
      <alignment horizontal="left" vertical="top" wrapText="1"/>
    </xf>
    <xf numFmtId="4" fontId="23" fillId="0" borderId="2" xfId="0" applyNumberFormat="1" applyFont="1" applyBorder="1" applyAlignment="1">
      <alignment horizontal="right" vertical="top"/>
    </xf>
    <xf numFmtId="4" fontId="10" fillId="0" borderId="2" xfId="0" applyNumberFormat="1" applyFont="1" applyBorder="1" applyAlignment="1">
      <alignment horizontal="right" vertical="top"/>
    </xf>
    <xf numFmtId="0" fontId="18" fillId="0" borderId="2" xfId="0" applyNumberFormat="1" applyFont="1" applyFill="1" applyBorder="1" applyAlignment="1" applyProtection="1">
      <alignment horizontal="left" vertical="center" wrapText="1"/>
    </xf>
    <xf numFmtId="49" fontId="18" fillId="0" borderId="2" xfId="0" applyNumberFormat="1" applyFont="1" applyBorder="1" applyAlignment="1">
      <alignment horizontal="left" wrapText="1"/>
    </xf>
    <xf numFmtId="49" fontId="18" fillId="0" borderId="2" xfId="0" applyNumberFormat="1" applyFont="1" applyFill="1" applyBorder="1" applyAlignment="1">
      <alignment horizontal="left" wrapText="1"/>
    </xf>
    <xf numFmtId="49" fontId="7" fillId="0" borderId="10" xfId="0" applyNumberFormat="1" applyFont="1" applyFill="1" applyBorder="1" applyAlignment="1">
      <alignment horizontal="left" vertical="top" wrapText="1"/>
    </xf>
    <xf numFmtId="49" fontId="25" fillId="0" borderId="2" xfId="0" applyNumberFormat="1" applyFont="1" applyFill="1" applyBorder="1" applyAlignment="1">
      <alignment horizontal="left" vertical="top"/>
    </xf>
    <xf numFmtId="49" fontId="25" fillId="0" borderId="2" xfId="0" applyNumberFormat="1" applyFont="1" applyFill="1" applyBorder="1" applyAlignment="1">
      <alignment horizontal="left" vertical="top" wrapText="1"/>
    </xf>
    <xf numFmtId="49" fontId="26" fillId="0" borderId="2" xfId="0" applyNumberFormat="1" applyFont="1" applyFill="1" applyBorder="1" applyAlignment="1">
      <alignment horizontal="left" vertical="top"/>
    </xf>
    <xf numFmtId="0" fontId="9" fillId="0" borderId="2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9" fillId="0" borderId="2" xfId="0" applyFont="1" applyBorder="1" applyAlignment="1">
      <alignment horizontal="center" vertical="top"/>
    </xf>
    <xf numFmtId="49" fontId="7" fillId="0" borderId="2" xfId="0" applyNumberFormat="1" applyFont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left" vertical="top" wrapText="1"/>
    </xf>
    <xf numFmtId="167" fontId="9" fillId="0" borderId="2" xfId="0" applyNumberFormat="1" applyFont="1" applyBorder="1" applyAlignment="1">
      <alignment horizontal="left" vertical="top" wrapText="1"/>
    </xf>
    <xf numFmtId="0" fontId="9" fillId="0" borderId="2" xfId="0" applyNumberFormat="1" applyFont="1" applyBorder="1" applyAlignment="1">
      <alignment horizontal="left" vertical="top" wrapText="1"/>
    </xf>
    <xf numFmtId="49" fontId="9" fillId="0" borderId="2" xfId="0" quotePrefix="1" applyNumberFormat="1" applyFont="1" applyBorder="1" applyAlignment="1">
      <alignment horizontal="left" vertical="top" wrapText="1"/>
    </xf>
    <xf numFmtId="0" fontId="9" fillId="0" borderId="0" xfId="0" applyFont="1" applyAlignment="1">
      <alignment vertical="top"/>
    </xf>
    <xf numFmtId="49" fontId="12" fillId="0" borderId="2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left" wrapText="1"/>
    </xf>
    <xf numFmtId="4" fontId="27" fillId="0" borderId="2" xfId="0" applyNumberFormat="1" applyFont="1" applyFill="1" applyBorder="1" applyAlignment="1">
      <alignment horizontal="left" vertical="center" wrapText="1"/>
    </xf>
    <xf numFmtId="49" fontId="28" fillId="0" borderId="2" xfId="0" applyNumberFormat="1" applyFont="1" applyFill="1" applyBorder="1" applyAlignment="1">
      <alignment horizontal="left" vertical="center" wrapText="1"/>
    </xf>
    <xf numFmtId="4" fontId="28" fillId="0" borderId="2" xfId="0" applyNumberFormat="1" applyFont="1" applyFill="1" applyBorder="1" applyAlignment="1">
      <alignment horizontal="left" vertical="center" wrapText="1"/>
    </xf>
    <xf numFmtId="4" fontId="28" fillId="0" borderId="2" xfId="0" applyNumberFormat="1" applyFont="1" applyFill="1" applyBorder="1" applyAlignment="1">
      <alignment horizontal="left" vertical="top"/>
    </xf>
    <xf numFmtId="4" fontId="29" fillId="0" borderId="2" xfId="0" applyNumberFormat="1" applyFont="1" applyFill="1" applyBorder="1" applyAlignment="1">
      <alignment horizontal="left" vertical="top"/>
    </xf>
    <xf numFmtId="4" fontId="27" fillId="0" borderId="2" xfId="0" applyNumberFormat="1" applyFont="1" applyFill="1" applyBorder="1" applyAlignment="1">
      <alignment horizontal="left" vertical="top"/>
    </xf>
    <xf numFmtId="4" fontId="30" fillId="0" borderId="2" xfId="0" applyNumberFormat="1" applyFont="1" applyFill="1" applyBorder="1" applyAlignment="1">
      <alignment horizontal="left" vertical="top"/>
    </xf>
    <xf numFmtId="4" fontId="31" fillId="0" borderId="2" xfId="0" applyNumberFormat="1" applyFont="1" applyFill="1" applyBorder="1" applyAlignment="1">
      <alignment horizontal="left" vertical="top"/>
    </xf>
    <xf numFmtId="4" fontId="32" fillId="0" borderId="2" xfId="0" applyNumberFormat="1" applyFont="1" applyFill="1" applyBorder="1" applyAlignment="1">
      <alignment horizontal="left" vertical="top"/>
    </xf>
    <xf numFmtId="4" fontId="33" fillId="0" borderId="2" xfId="0" applyNumberFormat="1" applyFont="1" applyFill="1" applyBorder="1" applyAlignment="1">
      <alignment horizontal="left" vertical="top"/>
    </xf>
    <xf numFmtId="4" fontId="27" fillId="0" borderId="2" xfId="0" applyNumberFormat="1" applyFont="1" applyFill="1" applyBorder="1" applyAlignment="1">
      <alignment horizontal="left"/>
    </xf>
    <xf numFmtId="4" fontId="34" fillId="0" borderId="2" xfId="0" applyNumberFormat="1" applyFont="1" applyBorder="1" applyAlignment="1">
      <alignment horizontal="center" vertical="center"/>
    </xf>
    <xf numFmtId="4" fontId="35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top" wrapText="1"/>
    </xf>
    <xf numFmtId="49" fontId="34" fillId="0" borderId="0" xfId="0" applyNumberFormat="1" applyFont="1" applyFill="1" applyAlignment="1">
      <alignment horizontal="left"/>
    </xf>
    <xf numFmtId="49" fontId="34" fillId="0" borderId="0" xfId="0" applyNumberFormat="1" applyFont="1" applyFill="1" applyAlignment="1">
      <alignment horizontal="left" vertical="top"/>
    </xf>
    <xf numFmtId="49" fontId="35" fillId="0" borderId="2" xfId="0" applyNumberFormat="1" applyFont="1" applyFill="1" applyBorder="1" applyAlignment="1">
      <alignment horizontal="center" wrapText="1"/>
    </xf>
    <xf numFmtId="4" fontId="34" fillId="0" borderId="2" xfId="0" applyNumberFormat="1" applyFont="1" applyFill="1" applyBorder="1" applyAlignment="1">
      <alignment horizontal="left" vertical="center" wrapText="1"/>
    </xf>
    <xf numFmtId="49" fontId="35" fillId="0" borderId="2" xfId="0" applyNumberFormat="1" applyFont="1" applyFill="1" applyBorder="1" applyAlignment="1">
      <alignment horizontal="left" vertical="center" wrapText="1"/>
    </xf>
    <xf numFmtId="4" fontId="35" fillId="0" borderId="2" xfId="0" applyNumberFormat="1" applyFont="1" applyFill="1" applyBorder="1" applyAlignment="1">
      <alignment horizontal="left" vertical="center" wrapText="1"/>
    </xf>
    <xf numFmtId="4" fontId="35" fillId="0" borderId="2" xfId="1" applyNumberFormat="1" applyFont="1" applyFill="1" applyBorder="1" applyAlignment="1">
      <alignment horizontal="left" vertical="top"/>
    </xf>
    <xf numFmtId="4" fontId="35" fillId="0" borderId="2" xfId="0" applyNumberFormat="1" applyFont="1" applyFill="1" applyBorder="1" applyAlignment="1">
      <alignment horizontal="left" vertical="top"/>
    </xf>
    <xf numFmtId="2" fontId="36" fillId="0" borderId="2" xfId="0" applyNumberFormat="1" applyFont="1" applyFill="1" applyBorder="1" applyAlignment="1">
      <alignment horizontal="left" vertical="top"/>
    </xf>
    <xf numFmtId="4" fontId="36" fillId="0" borderId="2" xfId="0" applyNumberFormat="1" applyFont="1" applyFill="1" applyBorder="1" applyAlignment="1">
      <alignment horizontal="left" vertical="top"/>
    </xf>
    <xf numFmtId="4" fontId="34" fillId="0" borderId="2" xfId="0" applyNumberFormat="1" applyFont="1" applyFill="1" applyBorder="1" applyAlignment="1">
      <alignment horizontal="left" vertical="top"/>
    </xf>
    <xf numFmtId="4" fontId="37" fillId="0" borderId="2" xfId="0" applyNumberFormat="1" applyFont="1" applyFill="1" applyBorder="1" applyAlignment="1">
      <alignment horizontal="left" vertical="top"/>
    </xf>
    <xf numFmtId="4" fontId="38" fillId="0" borderId="2" xfId="0" applyNumberFormat="1" applyFont="1" applyFill="1" applyBorder="1" applyAlignment="1">
      <alignment horizontal="left" vertical="top"/>
    </xf>
    <xf numFmtId="4" fontId="39" fillId="0" borderId="2" xfId="0" applyNumberFormat="1" applyFont="1" applyFill="1" applyBorder="1" applyAlignment="1">
      <alignment horizontal="left" vertical="top"/>
    </xf>
    <xf numFmtId="4" fontId="40" fillId="0" borderId="2" xfId="0" applyNumberFormat="1" applyFont="1" applyFill="1" applyBorder="1" applyAlignment="1">
      <alignment horizontal="left" vertical="top"/>
    </xf>
    <xf numFmtId="4" fontId="34" fillId="0" borderId="2" xfId="0" applyNumberFormat="1" applyFont="1" applyFill="1" applyBorder="1" applyAlignment="1">
      <alignment horizontal="left"/>
    </xf>
    <xf numFmtId="4" fontId="35" fillId="0" borderId="0" xfId="0" applyNumberFormat="1" applyFont="1" applyFill="1" applyAlignment="1">
      <alignment horizontal="left" vertical="top"/>
    </xf>
    <xf numFmtId="49" fontId="35" fillId="0" borderId="0" xfId="0" applyNumberFormat="1" applyFont="1"/>
    <xf numFmtId="0" fontId="35" fillId="0" borderId="0" xfId="0" applyFont="1" applyAlignment="1">
      <alignment horizontal="right"/>
    </xf>
    <xf numFmtId="0" fontId="34" fillId="0" borderId="0" xfId="0" applyFont="1" applyBorder="1" applyAlignment="1">
      <alignment horizontal="center"/>
    </xf>
    <xf numFmtId="49" fontId="35" fillId="0" borderId="2" xfId="0" applyNumberFormat="1" applyFont="1" applyBorder="1" applyAlignment="1">
      <alignment horizontal="center" vertical="center"/>
    </xf>
    <xf numFmtId="0" fontId="35" fillId="0" borderId="0" xfId="0" applyFont="1"/>
    <xf numFmtId="49" fontId="9" fillId="0" borderId="12" xfId="0" applyNumberFormat="1" applyFont="1" applyBorder="1" applyAlignment="1">
      <alignment horizontal="left" wrapText="1"/>
    </xf>
    <xf numFmtId="49" fontId="9" fillId="0" borderId="12" xfId="0" applyNumberFormat="1" applyFont="1" applyBorder="1" applyAlignment="1">
      <alignment wrapText="1"/>
    </xf>
    <xf numFmtId="0" fontId="7" fillId="0" borderId="12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49" fontId="9" fillId="0" borderId="0" xfId="0" applyNumberFormat="1" applyFont="1" applyBorder="1" applyAlignment="1">
      <alignment horizontal="left" wrapText="1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top" wrapText="1"/>
    </xf>
    <xf numFmtId="49" fontId="23" fillId="0" borderId="12" xfId="0" applyNumberFormat="1" applyFont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top" wrapText="1"/>
    </xf>
    <xf numFmtId="49" fontId="2" fillId="0" borderId="11" xfId="0" applyNumberFormat="1" applyFont="1" applyBorder="1" applyAlignment="1">
      <alignment horizontal="center" vertical="top" wrapText="1"/>
    </xf>
    <xf numFmtId="165" fontId="2" fillId="0" borderId="13" xfId="0" applyNumberFormat="1" applyFont="1" applyBorder="1" applyAlignment="1">
      <alignment horizontal="center" vertical="top" wrapText="1"/>
    </xf>
    <xf numFmtId="165" fontId="2" fillId="0" borderId="11" xfId="0" applyNumberFormat="1" applyFont="1" applyBorder="1" applyAlignment="1">
      <alignment horizontal="center" vertical="top" wrapText="1"/>
    </xf>
    <xf numFmtId="4" fontId="2" fillId="0" borderId="13" xfId="0" applyNumberFormat="1" applyFont="1" applyBorder="1" applyAlignment="1">
      <alignment horizontal="center" vertical="top" wrapText="1"/>
    </xf>
    <xf numFmtId="4" fontId="2" fillId="0" borderId="11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2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9"/>
  <sheetViews>
    <sheetView view="pageBreakPreview" topLeftCell="A11" zoomScale="80" zoomScaleSheetLayoutView="80" workbookViewId="0">
      <selection activeCell="E37" sqref="E37"/>
    </sheetView>
  </sheetViews>
  <sheetFormatPr defaultRowHeight="16.5"/>
  <cols>
    <col min="1" max="1" width="44" style="144" customWidth="1"/>
    <col min="2" max="2" width="9.140625" style="29" customWidth="1"/>
    <col min="3" max="3" width="26.85546875" style="29" customWidth="1"/>
    <col min="4" max="4" width="17.85546875" style="182" customWidth="1"/>
    <col min="5" max="5" width="15.28515625" style="182" customWidth="1"/>
    <col min="6" max="8" width="15.28515625" style="29" customWidth="1"/>
    <col min="9" max="9" width="17" style="29" customWidth="1"/>
    <col min="10" max="16384" width="9.140625" style="29"/>
  </cols>
  <sheetData>
    <row r="1" spans="1:9" ht="24" customHeight="1" thickBot="1">
      <c r="A1" s="186" t="s">
        <v>169</v>
      </c>
      <c r="B1" s="186"/>
      <c r="C1" s="186"/>
      <c r="D1" s="186"/>
      <c r="E1" s="186"/>
      <c r="F1" s="186"/>
      <c r="G1" s="186"/>
      <c r="H1" s="187"/>
      <c r="I1" s="31" t="s">
        <v>170</v>
      </c>
    </row>
    <row r="2" spans="1:9" ht="27.75" customHeight="1">
      <c r="A2" s="188" t="s">
        <v>334</v>
      </c>
      <c r="B2" s="188"/>
      <c r="C2" s="188"/>
      <c r="D2" s="188"/>
      <c r="E2" s="188"/>
      <c r="F2" s="188"/>
      <c r="G2" s="188"/>
      <c r="H2" s="34" t="s">
        <v>171</v>
      </c>
      <c r="I2" s="35" t="s">
        <v>224</v>
      </c>
    </row>
    <row r="3" spans="1:9" ht="21" customHeight="1">
      <c r="A3" s="189" t="s">
        <v>523</v>
      </c>
      <c r="B3" s="189"/>
      <c r="C3" s="189"/>
      <c r="D3" s="189"/>
      <c r="E3" s="189"/>
      <c r="F3" s="189"/>
      <c r="G3" s="189"/>
      <c r="H3" s="30" t="s">
        <v>172</v>
      </c>
      <c r="I3" s="36">
        <v>42644</v>
      </c>
    </row>
    <row r="4" spans="1:9">
      <c r="A4" s="137"/>
      <c r="B4" s="32"/>
      <c r="C4" s="33"/>
      <c r="D4" s="178"/>
      <c r="E4" s="179"/>
      <c r="F4" s="30"/>
      <c r="G4" s="30"/>
      <c r="H4" s="30" t="s">
        <v>173</v>
      </c>
      <c r="I4" s="37" t="s">
        <v>296</v>
      </c>
    </row>
    <row r="5" spans="1:9">
      <c r="A5" s="137" t="s">
        <v>174</v>
      </c>
      <c r="B5" s="183" t="s">
        <v>175</v>
      </c>
      <c r="C5" s="184"/>
      <c r="D5" s="184"/>
      <c r="E5" s="179"/>
      <c r="F5" s="30"/>
      <c r="G5" s="30"/>
      <c r="H5" s="30" t="s">
        <v>176</v>
      </c>
      <c r="I5" s="37" t="s">
        <v>226</v>
      </c>
    </row>
    <row r="6" spans="1:9" ht="12.75" customHeight="1">
      <c r="A6" s="137" t="s">
        <v>177</v>
      </c>
      <c r="B6" s="190" t="s">
        <v>340</v>
      </c>
      <c r="C6" s="190"/>
      <c r="D6" s="190"/>
      <c r="E6" s="190"/>
      <c r="F6" s="190"/>
      <c r="G6" s="30"/>
      <c r="H6" s="30" t="s">
        <v>178</v>
      </c>
      <c r="I6" s="38" t="s">
        <v>227</v>
      </c>
    </row>
    <row r="7" spans="1:9">
      <c r="A7" s="137" t="s">
        <v>179</v>
      </c>
      <c r="B7" s="32"/>
      <c r="C7" s="33"/>
      <c r="D7" s="178"/>
      <c r="E7" s="179"/>
      <c r="F7" s="30"/>
      <c r="G7" s="30"/>
      <c r="H7" s="30"/>
      <c r="I7" s="39"/>
    </row>
    <row r="8" spans="1:9" ht="17.25" thickBot="1">
      <c r="A8" s="137" t="s">
        <v>3</v>
      </c>
      <c r="B8" s="32"/>
      <c r="C8" s="40"/>
      <c r="D8" s="178"/>
      <c r="E8" s="179"/>
      <c r="F8" s="30"/>
      <c r="G8" s="30"/>
      <c r="H8" s="30" t="s">
        <v>180</v>
      </c>
      <c r="I8" s="41" t="s">
        <v>228</v>
      </c>
    </row>
    <row r="9" spans="1:9">
      <c r="A9" s="185" t="s">
        <v>181</v>
      </c>
      <c r="B9" s="185"/>
      <c r="C9" s="185"/>
      <c r="D9" s="185"/>
      <c r="E9" s="180"/>
      <c r="F9" s="102"/>
      <c r="G9" s="102"/>
      <c r="H9" s="102"/>
      <c r="I9" s="42"/>
    </row>
    <row r="10" spans="1:9" ht="12.75" customHeight="1">
      <c r="A10" s="192" t="s">
        <v>31</v>
      </c>
      <c r="B10" s="193" t="s">
        <v>182</v>
      </c>
      <c r="C10" s="193" t="s">
        <v>183</v>
      </c>
      <c r="D10" s="191" t="s">
        <v>184</v>
      </c>
      <c r="E10" s="194" t="s">
        <v>5</v>
      </c>
      <c r="F10" s="195"/>
      <c r="G10" s="195"/>
      <c r="H10" s="196"/>
      <c r="I10" s="191" t="s">
        <v>6</v>
      </c>
    </row>
    <row r="11" spans="1:9" ht="12.75" customHeight="1">
      <c r="A11" s="192"/>
      <c r="B11" s="193"/>
      <c r="C11" s="193"/>
      <c r="D11" s="191"/>
      <c r="E11" s="197" t="s">
        <v>34</v>
      </c>
      <c r="F11" s="197" t="s">
        <v>335</v>
      </c>
      <c r="G11" s="197" t="s">
        <v>36</v>
      </c>
      <c r="H11" s="197" t="s">
        <v>336</v>
      </c>
      <c r="I11" s="191"/>
    </row>
    <row r="12" spans="1:9" ht="12.75" customHeight="1">
      <c r="A12" s="192"/>
      <c r="B12" s="193"/>
      <c r="C12" s="193"/>
      <c r="D12" s="191"/>
      <c r="E12" s="198"/>
      <c r="F12" s="198"/>
      <c r="G12" s="198"/>
      <c r="H12" s="198"/>
      <c r="I12" s="191"/>
    </row>
    <row r="13" spans="1:9" ht="12.75" customHeight="1">
      <c r="A13" s="192"/>
      <c r="B13" s="193"/>
      <c r="C13" s="193"/>
      <c r="D13" s="191"/>
      <c r="E13" s="198"/>
      <c r="F13" s="198"/>
      <c r="G13" s="198"/>
      <c r="H13" s="198"/>
      <c r="I13" s="191"/>
    </row>
    <row r="14" spans="1:9" ht="12.75" customHeight="1">
      <c r="A14" s="192"/>
      <c r="B14" s="193"/>
      <c r="C14" s="193"/>
      <c r="D14" s="191"/>
      <c r="E14" s="199"/>
      <c r="F14" s="199"/>
      <c r="G14" s="199"/>
      <c r="H14" s="199"/>
      <c r="I14" s="191"/>
    </row>
    <row r="15" spans="1:9" ht="12.75" customHeight="1">
      <c r="A15" s="138">
        <v>1</v>
      </c>
      <c r="B15" s="43">
        <v>2</v>
      </c>
      <c r="C15" s="43">
        <v>3</v>
      </c>
      <c r="D15" s="181" t="s">
        <v>229</v>
      </c>
      <c r="E15" s="181" t="s">
        <v>230</v>
      </c>
      <c r="F15" s="44" t="s">
        <v>231</v>
      </c>
      <c r="G15" s="44" t="s">
        <v>337</v>
      </c>
      <c r="H15" s="44" t="s">
        <v>338</v>
      </c>
      <c r="I15" s="44" t="s">
        <v>339</v>
      </c>
    </row>
    <row r="16" spans="1:9" ht="12.75" customHeight="1">
      <c r="A16" s="139" t="s">
        <v>185</v>
      </c>
      <c r="B16" s="46" t="s">
        <v>232</v>
      </c>
      <c r="C16" s="47" t="s">
        <v>186</v>
      </c>
      <c r="D16" s="158">
        <f>D18+D65</f>
        <v>10276163</v>
      </c>
      <c r="E16" s="158">
        <f>E18+E65</f>
        <v>6039587.1400000006</v>
      </c>
      <c r="F16" s="158">
        <f t="shared" ref="F16:G16" si="0">F18+F65</f>
        <v>0</v>
      </c>
      <c r="G16" s="158">
        <f t="shared" si="0"/>
        <v>0</v>
      </c>
      <c r="H16" s="158">
        <f>E18+E65</f>
        <v>6039587.1400000006</v>
      </c>
      <c r="I16" s="158">
        <f>IF(OR(D16="-",E16=D16),"-",D16-IF(E16="-",0,E16))</f>
        <v>4236575.8599999994</v>
      </c>
    </row>
    <row r="17" spans="1:9" ht="12.75" customHeight="1">
      <c r="A17" s="140" t="s">
        <v>43</v>
      </c>
      <c r="B17" s="49"/>
      <c r="C17" s="44"/>
      <c r="D17" s="159"/>
      <c r="E17" s="159"/>
      <c r="F17" s="159"/>
      <c r="G17" s="159"/>
      <c r="H17" s="159"/>
      <c r="I17" s="159"/>
    </row>
    <row r="18" spans="1:9" s="98" customFormat="1" ht="21.75" customHeight="1">
      <c r="A18" s="139" t="s">
        <v>187</v>
      </c>
      <c r="B18" s="46" t="s">
        <v>225</v>
      </c>
      <c r="C18" s="47" t="s">
        <v>188</v>
      </c>
      <c r="D18" s="158">
        <f>D19+D32+D38+D52+D61+D64+D63+D56+D57+D58+D59</f>
        <v>1179516</v>
      </c>
      <c r="E18" s="158">
        <f>E19+E32+E38+E52+E61+E64+E63+E62+E59+E56+E57+E60+E58</f>
        <v>1730065.1400000001</v>
      </c>
      <c r="F18" s="158">
        <f t="shared" ref="F18:G18" si="1">F19+F32+F38+F52+F61+F64+F63+F62+F59+F56+F57+F60+F58</f>
        <v>0</v>
      </c>
      <c r="G18" s="158">
        <f t="shared" si="1"/>
        <v>0</v>
      </c>
      <c r="H18" s="158">
        <f>E19+E32+E38+E52+E61+E64+E63+E62+E59+E56+E57+E60+E58</f>
        <v>1730065.1400000001</v>
      </c>
      <c r="I18" s="158">
        <f t="shared" ref="I18:I36" si="2">IF(OR(D18="-",E18=D18),"-",D18-IF(E18="-",0,E18))</f>
        <v>-550549.14000000013</v>
      </c>
    </row>
    <row r="19" spans="1:9" ht="21.75" customHeight="1">
      <c r="A19" s="139" t="s">
        <v>189</v>
      </c>
      <c r="B19" s="46" t="s">
        <v>225</v>
      </c>
      <c r="C19" s="47" t="s">
        <v>233</v>
      </c>
      <c r="D19" s="158">
        <f>D20</f>
        <v>1006355</v>
      </c>
      <c r="E19" s="158">
        <f>E20</f>
        <v>1554450.36</v>
      </c>
      <c r="F19" s="158">
        <f>F20</f>
        <v>0</v>
      </c>
      <c r="G19" s="158">
        <f>G20</f>
        <v>0</v>
      </c>
      <c r="H19" s="158">
        <f>H20</f>
        <v>1554450.36</v>
      </c>
      <c r="I19" s="158">
        <f>IF(OR(D19="-",E19=D19),"-",D19-IF(E19="-",0,E19))</f>
        <v>-548095.3600000001</v>
      </c>
    </row>
    <row r="20" spans="1:9" ht="24" customHeight="1">
      <c r="A20" s="140" t="s">
        <v>190</v>
      </c>
      <c r="B20" s="49" t="s">
        <v>225</v>
      </c>
      <c r="C20" s="44" t="s">
        <v>234</v>
      </c>
      <c r="D20" s="159">
        <f>FIO+D25+D28</f>
        <v>1006355</v>
      </c>
      <c r="E20" s="159">
        <f>E21+E25+E28</f>
        <v>1554450.36</v>
      </c>
      <c r="F20" s="159">
        <f t="shared" ref="F20" si="3">F21+F25+F28</f>
        <v>0</v>
      </c>
      <c r="G20" s="159">
        <f>G21+G25+G28</f>
        <v>0</v>
      </c>
      <c r="H20" s="159">
        <f>H21+H25+H28</f>
        <v>1554450.36</v>
      </c>
      <c r="I20" s="159">
        <f>IF(OR(D20="-",E20=D20),"-",D20-IF(E20="-",0,E20))</f>
        <v>-548095.3600000001</v>
      </c>
    </row>
    <row r="21" spans="1:9" ht="90" customHeight="1">
      <c r="A21" s="140" t="s">
        <v>191</v>
      </c>
      <c r="B21" s="49" t="s">
        <v>225</v>
      </c>
      <c r="C21" s="44" t="s">
        <v>235</v>
      </c>
      <c r="D21" s="159">
        <f>D22+D23+D24</f>
        <v>516696</v>
      </c>
      <c r="E21" s="159">
        <f>E22+E23+E24</f>
        <v>574429.44999999995</v>
      </c>
      <c r="F21" s="159">
        <f t="shared" ref="F21:G21" si="4">F22+F23+F24</f>
        <v>0</v>
      </c>
      <c r="G21" s="159">
        <f t="shared" si="4"/>
        <v>0</v>
      </c>
      <c r="H21" s="159">
        <f>E22+E23+E24</f>
        <v>574429.44999999995</v>
      </c>
      <c r="I21" s="159">
        <f t="shared" si="2"/>
        <v>-57733.449999999953</v>
      </c>
    </row>
    <row r="22" spans="1:9" ht="127.5" customHeight="1">
      <c r="A22" s="141" t="s">
        <v>192</v>
      </c>
      <c r="B22" s="49" t="s">
        <v>225</v>
      </c>
      <c r="C22" s="44" t="s">
        <v>236</v>
      </c>
      <c r="D22" s="159">
        <v>516696</v>
      </c>
      <c r="E22" s="159">
        <v>573204.93999999994</v>
      </c>
      <c r="F22" s="159">
        <f t="shared" ref="D22:F70" si="5">F23+F24+F25</f>
        <v>0</v>
      </c>
      <c r="G22" s="159">
        <f t="shared" ref="G22:G70" si="6">G23+G24+G25</f>
        <v>0</v>
      </c>
      <c r="H22" s="159">
        <f>E22+F22+G22</f>
        <v>573204.93999999994</v>
      </c>
      <c r="I22" s="159">
        <f t="shared" si="2"/>
        <v>-56508.939999999944</v>
      </c>
    </row>
    <row r="23" spans="1:9" ht="94.5" customHeight="1">
      <c r="A23" s="141" t="s">
        <v>510</v>
      </c>
      <c r="B23" s="49" t="s">
        <v>225</v>
      </c>
      <c r="C23" s="44" t="s">
        <v>509</v>
      </c>
      <c r="D23" s="159"/>
      <c r="E23" s="159">
        <v>1224.51</v>
      </c>
      <c r="F23" s="159">
        <f t="shared" si="5"/>
        <v>0</v>
      </c>
      <c r="G23" s="159">
        <f t="shared" si="6"/>
        <v>0</v>
      </c>
      <c r="H23" s="159">
        <f t="shared" ref="H23:H84" si="7">E23+F23+G23</f>
        <v>1224.51</v>
      </c>
      <c r="I23" s="159">
        <f t="shared" si="2"/>
        <v>-1224.51</v>
      </c>
    </row>
    <row r="24" spans="1:9" ht="119.25" hidden="1" customHeight="1">
      <c r="A24" s="141" t="s">
        <v>193</v>
      </c>
      <c r="B24" s="49" t="s">
        <v>225</v>
      </c>
      <c r="C24" s="44" t="s">
        <v>237</v>
      </c>
      <c r="D24" s="159"/>
      <c r="E24" s="159"/>
      <c r="F24" s="159">
        <f t="shared" si="5"/>
        <v>0</v>
      </c>
      <c r="G24" s="159">
        <f t="shared" si="6"/>
        <v>0</v>
      </c>
      <c r="H24" s="159">
        <f t="shared" si="7"/>
        <v>0</v>
      </c>
      <c r="I24" s="159" t="str">
        <f t="shared" si="2"/>
        <v>-</v>
      </c>
    </row>
    <row r="25" spans="1:9" ht="123" customHeight="1">
      <c r="A25" s="141" t="s">
        <v>194</v>
      </c>
      <c r="B25" s="49" t="s">
        <v>225</v>
      </c>
      <c r="C25" s="44" t="s">
        <v>238</v>
      </c>
      <c r="D25" s="159">
        <f>D26+D27</f>
        <v>483146</v>
      </c>
      <c r="E25" s="159">
        <f>E26+E27</f>
        <v>978426.4</v>
      </c>
      <c r="F25" s="159">
        <f t="shared" si="5"/>
        <v>0</v>
      </c>
      <c r="G25" s="159">
        <f t="shared" si="6"/>
        <v>0</v>
      </c>
      <c r="H25" s="159">
        <f t="shared" si="7"/>
        <v>978426.4</v>
      </c>
      <c r="I25" s="159">
        <f t="shared" si="2"/>
        <v>-495280.4</v>
      </c>
    </row>
    <row r="26" spans="1:9" ht="158.25" customHeight="1">
      <c r="A26" s="141" t="s">
        <v>195</v>
      </c>
      <c r="B26" s="49" t="s">
        <v>225</v>
      </c>
      <c r="C26" s="44" t="s">
        <v>239</v>
      </c>
      <c r="D26" s="159">
        <v>483146</v>
      </c>
      <c r="E26" s="159">
        <v>978426.4</v>
      </c>
      <c r="F26" s="159">
        <f t="shared" si="5"/>
        <v>0</v>
      </c>
      <c r="G26" s="159">
        <f t="shared" si="6"/>
        <v>0</v>
      </c>
      <c r="H26" s="159">
        <f t="shared" si="7"/>
        <v>978426.4</v>
      </c>
      <c r="I26" s="159">
        <f t="shared" si="2"/>
        <v>-495280.4</v>
      </c>
    </row>
    <row r="27" spans="1:9" ht="125.25" hidden="1" customHeight="1">
      <c r="A27" s="141" t="s">
        <v>196</v>
      </c>
      <c r="B27" s="49" t="s">
        <v>225</v>
      </c>
      <c r="C27" s="44" t="s">
        <v>240</v>
      </c>
      <c r="D27" s="159"/>
      <c r="E27" s="159"/>
      <c r="F27" s="159">
        <f t="shared" si="5"/>
        <v>0</v>
      </c>
      <c r="G27" s="159">
        <f t="shared" si="6"/>
        <v>0</v>
      </c>
      <c r="H27" s="159">
        <f t="shared" si="7"/>
        <v>0</v>
      </c>
      <c r="I27" s="159" t="str">
        <f t="shared" si="2"/>
        <v>-</v>
      </c>
    </row>
    <row r="28" spans="1:9" ht="93.75" customHeight="1">
      <c r="A28" s="141" t="s">
        <v>470</v>
      </c>
      <c r="B28" s="49" t="s">
        <v>225</v>
      </c>
      <c r="C28" s="44" t="s">
        <v>241</v>
      </c>
      <c r="D28" s="159">
        <f>D29+D31+D30</f>
        <v>6513</v>
      </c>
      <c r="E28" s="159">
        <f>E29+E31+E30</f>
        <v>1594.51</v>
      </c>
      <c r="F28" s="159">
        <f t="shared" si="5"/>
        <v>0</v>
      </c>
      <c r="G28" s="159">
        <f t="shared" si="6"/>
        <v>0</v>
      </c>
      <c r="H28" s="159">
        <f t="shared" si="7"/>
        <v>1594.51</v>
      </c>
      <c r="I28" s="159">
        <f t="shared" si="2"/>
        <v>4918.49</v>
      </c>
    </row>
    <row r="29" spans="1:9" ht="84" customHeight="1">
      <c r="A29" s="141" t="s">
        <v>297</v>
      </c>
      <c r="B29" s="49" t="s">
        <v>225</v>
      </c>
      <c r="C29" s="44" t="s">
        <v>242</v>
      </c>
      <c r="D29" s="159">
        <v>6513</v>
      </c>
      <c r="E29" s="159">
        <v>1365</v>
      </c>
      <c r="F29" s="159">
        <f t="shared" si="5"/>
        <v>0</v>
      </c>
      <c r="G29" s="159">
        <f t="shared" si="6"/>
        <v>0</v>
      </c>
      <c r="H29" s="159">
        <f t="shared" si="7"/>
        <v>1365</v>
      </c>
      <c r="I29" s="159">
        <f t="shared" si="2"/>
        <v>5148</v>
      </c>
    </row>
    <row r="30" spans="1:9" ht="79.5" customHeight="1">
      <c r="A30" s="141" t="s">
        <v>197</v>
      </c>
      <c r="B30" s="49" t="s">
        <v>225</v>
      </c>
      <c r="C30" s="44" t="s">
        <v>243</v>
      </c>
      <c r="D30" s="159"/>
      <c r="E30" s="159">
        <v>129.51</v>
      </c>
      <c r="F30" s="159">
        <f t="shared" si="5"/>
        <v>0</v>
      </c>
      <c r="G30" s="159">
        <f t="shared" si="6"/>
        <v>0</v>
      </c>
      <c r="H30" s="159">
        <f t="shared" si="7"/>
        <v>129.51</v>
      </c>
      <c r="I30" s="159">
        <f t="shared" si="2"/>
        <v>-129.51</v>
      </c>
    </row>
    <row r="31" spans="1:9" ht="84.75" customHeight="1">
      <c r="A31" s="141" t="s">
        <v>197</v>
      </c>
      <c r="B31" s="49" t="s">
        <v>225</v>
      </c>
      <c r="C31" s="44" t="s">
        <v>244</v>
      </c>
      <c r="D31" s="159"/>
      <c r="E31" s="159">
        <v>100</v>
      </c>
      <c r="F31" s="159">
        <f t="shared" si="5"/>
        <v>0</v>
      </c>
      <c r="G31" s="159">
        <f t="shared" si="6"/>
        <v>0</v>
      </c>
      <c r="H31" s="159">
        <f t="shared" si="7"/>
        <v>100</v>
      </c>
      <c r="I31" s="159">
        <f t="shared" si="2"/>
        <v>-100</v>
      </c>
    </row>
    <row r="32" spans="1:9" ht="59.25" customHeight="1">
      <c r="A32" s="139" t="s">
        <v>198</v>
      </c>
      <c r="B32" s="46" t="s">
        <v>225</v>
      </c>
      <c r="C32" s="47" t="s">
        <v>245</v>
      </c>
      <c r="D32" s="158">
        <f>D33</f>
        <v>107200</v>
      </c>
      <c r="E32" s="158">
        <f>E33</f>
        <v>82628.800000000003</v>
      </c>
      <c r="F32" s="158">
        <f t="shared" si="5"/>
        <v>0</v>
      </c>
      <c r="G32" s="158">
        <f t="shared" si="6"/>
        <v>0</v>
      </c>
      <c r="H32" s="159">
        <f t="shared" si="7"/>
        <v>82628.800000000003</v>
      </c>
      <c r="I32" s="158">
        <f t="shared" si="2"/>
        <v>24571.199999999997</v>
      </c>
    </row>
    <row r="33" spans="1:9" ht="47.25" customHeight="1">
      <c r="A33" s="140" t="s">
        <v>199</v>
      </c>
      <c r="B33" s="49" t="s">
        <v>225</v>
      </c>
      <c r="C33" s="44" t="s">
        <v>246</v>
      </c>
      <c r="D33" s="159">
        <f>D34+D35+D36+D37</f>
        <v>107200</v>
      </c>
      <c r="E33" s="159">
        <f>E34+E35+E36+E37</f>
        <v>82628.800000000003</v>
      </c>
      <c r="F33" s="159">
        <f t="shared" si="5"/>
        <v>0</v>
      </c>
      <c r="G33" s="159">
        <f t="shared" si="6"/>
        <v>0</v>
      </c>
      <c r="H33" s="159">
        <f t="shared" si="7"/>
        <v>82628.800000000003</v>
      </c>
      <c r="I33" s="159">
        <f t="shared" si="2"/>
        <v>24571.199999999997</v>
      </c>
    </row>
    <row r="34" spans="1:9" ht="87.75" customHeight="1">
      <c r="A34" s="140" t="s">
        <v>292</v>
      </c>
      <c r="B34" s="49" t="s">
        <v>225</v>
      </c>
      <c r="C34" s="44" t="s">
        <v>247</v>
      </c>
      <c r="D34" s="159">
        <v>34200</v>
      </c>
      <c r="E34" s="159">
        <v>27772.27</v>
      </c>
      <c r="F34" s="159">
        <f t="shared" si="5"/>
        <v>0</v>
      </c>
      <c r="G34" s="159">
        <f t="shared" si="6"/>
        <v>0</v>
      </c>
      <c r="H34" s="159">
        <f t="shared" si="7"/>
        <v>27772.27</v>
      </c>
      <c r="I34" s="159">
        <f t="shared" si="2"/>
        <v>6427.73</v>
      </c>
    </row>
    <row r="35" spans="1:9" ht="100.5" customHeight="1">
      <c r="A35" s="142" t="s">
        <v>293</v>
      </c>
      <c r="B35" s="49" t="s">
        <v>225</v>
      </c>
      <c r="C35" s="44" t="s">
        <v>248</v>
      </c>
      <c r="D35" s="159">
        <v>700</v>
      </c>
      <c r="E35" s="159">
        <v>442.6</v>
      </c>
      <c r="F35" s="159">
        <f t="shared" si="5"/>
        <v>0</v>
      </c>
      <c r="G35" s="159">
        <f t="shared" si="6"/>
        <v>0</v>
      </c>
      <c r="H35" s="159">
        <f t="shared" si="7"/>
        <v>442.6</v>
      </c>
      <c r="I35" s="159">
        <f t="shared" si="2"/>
        <v>257.39999999999998</v>
      </c>
    </row>
    <row r="36" spans="1:9" ht="81.75" customHeight="1">
      <c r="A36" s="140" t="s">
        <v>294</v>
      </c>
      <c r="B36" s="49" t="s">
        <v>225</v>
      </c>
      <c r="C36" s="44" t="s">
        <v>249</v>
      </c>
      <c r="D36" s="159">
        <v>79200</v>
      </c>
      <c r="E36" s="159">
        <v>58248.82</v>
      </c>
      <c r="F36" s="159">
        <f t="shared" si="5"/>
        <v>0</v>
      </c>
      <c r="G36" s="159">
        <f t="shared" si="6"/>
        <v>0</v>
      </c>
      <c r="H36" s="159">
        <f t="shared" si="7"/>
        <v>58248.82</v>
      </c>
      <c r="I36" s="159">
        <f t="shared" si="2"/>
        <v>20951.18</v>
      </c>
    </row>
    <row r="37" spans="1:9" ht="81.75" customHeight="1">
      <c r="A37" s="140" t="s">
        <v>295</v>
      </c>
      <c r="B37" s="49" t="s">
        <v>225</v>
      </c>
      <c r="C37" s="44" t="s">
        <v>250</v>
      </c>
      <c r="D37" s="159">
        <v>-6900</v>
      </c>
      <c r="E37" s="159">
        <v>-3834.89</v>
      </c>
      <c r="F37" s="159">
        <f t="shared" si="5"/>
        <v>0</v>
      </c>
      <c r="G37" s="159">
        <f t="shared" si="6"/>
        <v>0</v>
      </c>
      <c r="H37" s="159">
        <f t="shared" si="7"/>
        <v>-3834.89</v>
      </c>
      <c r="I37" s="159">
        <f>D37-E37</f>
        <v>-3065.11</v>
      </c>
    </row>
    <row r="38" spans="1:9">
      <c r="A38" s="139" t="s">
        <v>200</v>
      </c>
      <c r="B38" s="46" t="s">
        <v>225</v>
      </c>
      <c r="C38" s="47" t="s">
        <v>251</v>
      </c>
      <c r="D38" s="158">
        <f>D39+D44</f>
        <v>48461</v>
      </c>
      <c r="E38" s="158">
        <f>E39+E44</f>
        <v>19519.669999999998</v>
      </c>
      <c r="F38" s="159">
        <f t="shared" si="5"/>
        <v>0</v>
      </c>
      <c r="G38" s="159">
        <f t="shared" si="6"/>
        <v>0</v>
      </c>
      <c r="H38" s="159">
        <f t="shared" si="7"/>
        <v>19519.669999999998</v>
      </c>
      <c r="I38" s="158">
        <f t="shared" ref="I38:I64" si="8">IF(OR(D38="-",E38=D38),"-",D38-IF(E38="-",0,E38))</f>
        <v>28941.33</v>
      </c>
    </row>
    <row r="39" spans="1:9">
      <c r="A39" s="139" t="s">
        <v>201</v>
      </c>
      <c r="B39" s="46" t="s">
        <v>225</v>
      </c>
      <c r="C39" s="47" t="s">
        <v>252</v>
      </c>
      <c r="D39" s="158">
        <f>D40</f>
        <v>42273</v>
      </c>
      <c r="E39" s="158">
        <f>E40</f>
        <v>17664.98</v>
      </c>
      <c r="F39" s="159">
        <f t="shared" si="5"/>
        <v>0</v>
      </c>
      <c r="G39" s="159">
        <f t="shared" si="6"/>
        <v>0</v>
      </c>
      <c r="H39" s="159">
        <f t="shared" si="7"/>
        <v>17664.98</v>
      </c>
      <c r="I39" s="158">
        <f t="shared" si="8"/>
        <v>24608.02</v>
      </c>
    </row>
    <row r="40" spans="1:9" ht="54" customHeight="1">
      <c r="A40" s="140" t="s">
        <v>202</v>
      </c>
      <c r="B40" s="49" t="s">
        <v>225</v>
      </c>
      <c r="C40" s="44" t="s">
        <v>253</v>
      </c>
      <c r="D40" s="159">
        <f t="shared" si="5"/>
        <v>42273</v>
      </c>
      <c r="E40" s="159">
        <f t="shared" si="5"/>
        <v>17664.98</v>
      </c>
      <c r="F40" s="159">
        <f t="shared" si="5"/>
        <v>0</v>
      </c>
      <c r="G40" s="159">
        <f t="shared" si="6"/>
        <v>0</v>
      </c>
      <c r="H40" s="159">
        <f t="shared" si="7"/>
        <v>17664.98</v>
      </c>
      <c r="I40" s="159">
        <f t="shared" si="8"/>
        <v>24608.02</v>
      </c>
    </row>
    <row r="41" spans="1:9" ht="86.25" customHeight="1">
      <c r="A41" s="140" t="s">
        <v>286</v>
      </c>
      <c r="B41" s="49" t="s">
        <v>225</v>
      </c>
      <c r="C41" s="44" t="s">
        <v>254</v>
      </c>
      <c r="D41" s="159">
        <v>42273</v>
      </c>
      <c r="E41" s="159">
        <v>16636.509999999998</v>
      </c>
      <c r="F41" s="159">
        <f t="shared" si="5"/>
        <v>0</v>
      </c>
      <c r="G41" s="159">
        <f t="shared" si="6"/>
        <v>0</v>
      </c>
      <c r="H41" s="159">
        <f t="shared" si="7"/>
        <v>16636.509999999998</v>
      </c>
      <c r="I41" s="159">
        <f t="shared" si="8"/>
        <v>25636.49</v>
      </c>
    </row>
    <row r="42" spans="1:9" ht="57.75" customHeight="1">
      <c r="A42" s="140" t="s">
        <v>203</v>
      </c>
      <c r="B42" s="49" t="s">
        <v>225</v>
      </c>
      <c r="C42" s="44" t="s">
        <v>279</v>
      </c>
      <c r="D42" s="159"/>
      <c r="E42" s="159">
        <v>1028.47</v>
      </c>
      <c r="F42" s="159">
        <f t="shared" si="5"/>
        <v>0</v>
      </c>
      <c r="G42" s="159">
        <f t="shared" si="6"/>
        <v>0</v>
      </c>
      <c r="H42" s="159">
        <f t="shared" si="7"/>
        <v>1028.47</v>
      </c>
      <c r="I42" s="159">
        <f t="shared" si="8"/>
        <v>-1028.47</v>
      </c>
    </row>
    <row r="43" spans="1:9" ht="53.25" hidden="1" customHeight="1">
      <c r="A43" s="140" t="s">
        <v>204</v>
      </c>
      <c r="B43" s="49" t="s">
        <v>225</v>
      </c>
      <c r="C43" s="44" t="s">
        <v>255</v>
      </c>
      <c r="D43" s="159"/>
      <c r="E43" s="159">
        <v>0</v>
      </c>
      <c r="F43" s="159">
        <f t="shared" si="5"/>
        <v>0</v>
      </c>
      <c r="G43" s="159">
        <f t="shared" si="6"/>
        <v>0</v>
      </c>
      <c r="H43" s="159">
        <f t="shared" si="7"/>
        <v>0</v>
      </c>
      <c r="I43" s="159" t="str">
        <f t="shared" si="8"/>
        <v>-</v>
      </c>
    </row>
    <row r="44" spans="1:9" ht="18.75" customHeight="1">
      <c r="A44" s="139" t="s">
        <v>205</v>
      </c>
      <c r="B44" s="46" t="s">
        <v>225</v>
      </c>
      <c r="C44" s="47" t="s">
        <v>256</v>
      </c>
      <c r="D44" s="158">
        <f>D46+D49+D48+D50+D51</f>
        <v>6188</v>
      </c>
      <c r="E44" s="158">
        <f>E46+E49+E47+E48+E50+E51</f>
        <v>1854.69</v>
      </c>
      <c r="F44" s="158">
        <f>F45+F46+F48</f>
        <v>0</v>
      </c>
      <c r="G44" s="158">
        <f>G45+G46+G48</f>
        <v>0</v>
      </c>
      <c r="H44" s="159">
        <f t="shared" si="7"/>
        <v>1854.69</v>
      </c>
      <c r="I44" s="158">
        <f t="shared" si="8"/>
        <v>4333.3099999999995</v>
      </c>
    </row>
    <row r="45" spans="1:9" ht="78" hidden="1" customHeight="1">
      <c r="A45" s="140" t="s">
        <v>206</v>
      </c>
      <c r="B45" s="49" t="s">
        <v>225</v>
      </c>
      <c r="C45" s="44" t="s">
        <v>257</v>
      </c>
      <c r="D45" s="159"/>
      <c r="E45" s="159"/>
      <c r="F45" s="159">
        <f>F46+F48+F49</f>
        <v>0</v>
      </c>
      <c r="G45" s="159">
        <f>G46+G48+G49</f>
        <v>0</v>
      </c>
      <c r="H45" s="159">
        <f t="shared" si="7"/>
        <v>0</v>
      </c>
      <c r="I45" s="159" t="str">
        <f t="shared" si="8"/>
        <v>-</v>
      </c>
    </row>
    <row r="46" spans="1:9" ht="85.5" customHeight="1">
      <c r="A46" s="142" t="s">
        <v>287</v>
      </c>
      <c r="B46" s="49" t="s">
        <v>225</v>
      </c>
      <c r="C46" s="44" t="s">
        <v>278</v>
      </c>
      <c r="D46" s="159">
        <v>470</v>
      </c>
      <c r="E46" s="159">
        <v>282.83999999999997</v>
      </c>
      <c r="F46" s="159">
        <f>F48+F49+F50</f>
        <v>0</v>
      </c>
      <c r="G46" s="159">
        <f>G48+G49+G50</f>
        <v>0</v>
      </c>
      <c r="H46" s="159">
        <f t="shared" si="7"/>
        <v>282.83999999999997</v>
      </c>
      <c r="I46" s="159">
        <f t="shared" si="8"/>
        <v>187.16000000000003</v>
      </c>
    </row>
    <row r="47" spans="1:9" ht="60" customHeight="1">
      <c r="A47" s="142" t="s">
        <v>288</v>
      </c>
      <c r="B47" s="49" t="s">
        <v>225</v>
      </c>
      <c r="C47" s="44" t="s">
        <v>513</v>
      </c>
      <c r="D47" s="159">
        <v>0</v>
      </c>
      <c r="E47" s="159">
        <v>4.1500000000000004</v>
      </c>
      <c r="F47" s="159">
        <f t="shared" si="5"/>
        <v>0</v>
      </c>
      <c r="G47" s="159">
        <f t="shared" si="6"/>
        <v>0</v>
      </c>
      <c r="H47" s="159">
        <f t="shared" ref="H47" si="9">E47+F47+G47</f>
        <v>4.1500000000000004</v>
      </c>
      <c r="I47" s="159">
        <f t="shared" ref="I47" si="10">IF(OR(D47="-",E47=D47),"-",D47-IF(E47="-",0,E47))</f>
        <v>-4.1500000000000004</v>
      </c>
    </row>
    <row r="48" spans="1:9" ht="60" customHeight="1">
      <c r="A48" s="142" t="s">
        <v>288</v>
      </c>
      <c r="B48" s="49" t="s">
        <v>225</v>
      </c>
      <c r="C48" s="44" t="s">
        <v>485</v>
      </c>
      <c r="D48" s="159">
        <v>0</v>
      </c>
      <c r="E48" s="159">
        <v>200</v>
      </c>
      <c r="F48" s="159">
        <f t="shared" si="5"/>
        <v>0</v>
      </c>
      <c r="G48" s="159">
        <f t="shared" si="6"/>
        <v>0</v>
      </c>
      <c r="H48" s="159">
        <f t="shared" si="7"/>
        <v>200</v>
      </c>
      <c r="I48" s="159">
        <f t="shared" si="8"/>
        <v>-200</v>
      </c>
    </row>
    <row r="49" spans="1:9" ht="82.5" customHeight="1">
      <c r="A49" s="142" t="s">
        <v>284</v>
      </c>
      <c r="B49" s="49" t="s">
        <v>225</v>
      </c>
      <c r="C49" s="44" t="s">
        <v>280</v>
      </c>
      <c r="D49" s="159">
        <v>5718</v>
      </c>
      <c r="E49" s="159">
        <v>1237.26</v>
      </c>
      <c r="F49" s="159">
        <f t="shared" si="5"/>
        <v>0</v>
      </c>
      <c r="G49" s="159">
        <f t="shared" si="6"/>
        <v>0</v>
      </c>
      <c r="H49" s="159">
        <f t="shared" si="7"/>
        <v>1237.26</v>
      </c>
      <c r="I49" s="159">
        <f t="shared" si="8"/>
        <v>4480.74</v>
      </c>
    </row>
    <row r="50" spans="1:9" ht="60" customHeight="1">
      <c r="A50" s="142" t="s">
        <v>285</v>
      </c>
      <c r="B50" s="49" t="s">
        <v>225</v>
      </c>
      <c r="C50" s="44" t="s">
        <v>281</v>
      </c>
      <c r="D50" s="159">
        <v>0</v>
      </c>
      <c r="E50" s="159">
        <v>130.44</v>
      </c>
      <c r="F50" s="159">
        <f t="shared" si="5"/>
        <v>0</v>
      </c>
      <c r="G50" s="159">
        <f t="shared" si="6"/>
        <v>0</v>
      </c>
      <c r="H50" s="159">
        <f t="shared" si="7"/>
        <v>130.44</v>
      </c>
      <c r="I50" s="159">
        <f t="shared" si="8"/>
        <v>-130.44</v>
      </c>
    </row>
    <row r="51" spans="1:9" ht="49.5" hidden="1" customHeight="1">
      <c r="A51" s="142" t="s">
        <v>302</v>
      </c>
      <c r="B51" s="49" t="s">
        <v>225</v>
      </c>
      <c r="C51" s="44" t="s">
        <v>303</v>
      </c>
      <c r="D51" s="159"/>
      <c r="E51" s="159">
        <v>0</v>
      </c>
      <c r="F51" s="159">
        <f t="shared" si="5"/>
        <v>0</v>
      </c>
      <c r="G51" s="159">
        <f t="shared" si="6"/>
        <v>0</v>
      </c>
      <c r="H51" s="159">
        <f t="shared" si="7"/>
        <v>0</v>
      </c>
      <c r="I51" s="159" t="str">
        <f t="shared" si="8"/>
        <v>-</v>
      </c>
    </row>
    <row r="52" spans="1:9">
      <c r="A52" s="139" t="s">
        <v>207</v>
      </c>
      <c r="B52" s="46" t="s">
        <v>225</v>
      </c>
      <c r="C52" s="47" t="s">
        <v>258</v>
      </c>
      <c r="D52" s="158">
        <f t="shared" ref="D52:E54" si="11">D53</f>
        <v>17500</v>
      </c>
      <c r="E52" s="158">
        <f t="shared" si="11"/>
        <v>22610</v>
      </c>
      <c r="F52" s="158">
        <f t="shared" si="5"/>
        <v>0</v>
      </c>
      <c r="G52" s="158">
        <f t="shared" si="6"/>
        <v>0</v>
      </c>
      <c r="H52" s="159">
        <f t="shared" si="7"/>
        <v>22610</v>
      </c>
      <c r="I52" s="158">
        <f t="shared" si="8"/>
        <v>-5110</v>
      </c>
    </row>
    <row r="53" spans="1:9" ht="60" customHeight="1">
      <c r="A53" s="140" t="s">
        <v>208</v>
      </c>
      <c r="B53" s="49" t="s">
        <v>225</v>
      </c>
      <c r="C53" s="44" t="s">
        <v>259</v>
      </c>
      <c r="D53" s="159">
        <f t="shared" si="11"/>
        <v>17500</v>
      </c>
      <c r="E53" s="159">
        <f t="shared" si="11"/>
        <v>22610</v>
      </c>
      <c r="F53" s="159">
        <f t="shared" si="5"/>
        <v>0</v>
      </c>
      <c r="G53" s="159">
        <f t="shared" si="6"/>
        <v>0</v>
      </c>
      <c r="H53" s="159">
        <f t="shared" si="7"/>
        <v>22610</v>
      </c>
      <c r="I53" s="159">
        <f t="shared" si="8"/>
        <v>-5110</v>
      </c>
    </row>
    <row r="54" spans="1:9" ht="81" customHeight="1">
      <c r="A54" s="140" t="s">
        <v>209</v>
      </c>
      <c r="B54" s="49" t="s">
        <v>225</v>
      </c>
      <c r="C54" s="44" t="s">
        <v>260</v>
      </c>
      <c r="D54" s="159">
        <f t="shared" si="11"/>
        <v>17500</v>
      </c>
      <c r="E54" s="159">
        <f t="shared" si="11"/>
        <v>22610</v>
      </c>
      <c r="F54" s="159">
        <f t="shared" si="5"/>
        <v>0</v>
      </c>
      <c r="G54" s="159">
        <f t="shared" si="6"/>
        <v>0</v>
      </c>
      <c r="H54" s="159">
        <f t="shared" si="7"/>
        <v>22610</v>
      </c>
      <c r="I54" s="159">
        <f t="shared" si="8"/>
        <v>-5110</v>
      </c>
    </row>
    <row r="55" spans="1:9" ht="87" customHeight="1">
      <c r="A55" s="140" t="s">
        <v>507</v>
      </c>
      <c r="B55" s="49" t="s">
        <v>225</v>
      </c>
      <c r="C55" s="44" t="s">
        <v>261</v>
      </c>
      <c r="D55" s="159">
        <v>17500</v>
      </c>
      <c r="E55" s="159">
        <v>22610</v>
      </c>
      <c r="F55" s="159">
        <f t="shared" si="5"/>
        <v>0</v>
      </c>
      <c r="G55" s="159">
        <f t="shared" si="6"/>
        <v>0</v>
      </c>
      <c r="H55" s="159">
        <f t="shared" si="7"/>
        <v>22610</v>
      </c>
      <c r="I55" s="159">
        <f t="shared" si="8"/>
        <v>-5110</v>
      </c>
    </row>
    <row r="56" spans="1:9" ht="50.25" customHeight="1">
      <c r="A56" s="140" t="s">
        <v>283</v>
      </c>
      <c r="B56" s="49"/>
      <c r="C56" s="44" t="s">
        <v>525</v>
      </c>
      <c r="D56" s="159"/>
      <c r="E56" s="159">
        <v>935.31</v>
      </c>
      <c r="F56" s="159">
        <f t="shared" si="5"/>
        <v>0</v>
      </c>
      <c r="G56" s="159">
        <f t="shared" si="6"/>
        <v>0</v>
      </c>
      <c r="H56" s="159">
        <f t="shared" si="7"/>
        <v>935.31</v>
      </c>
      <c r="I56" s="159">
        <f t="shared" si="8"/>
        <v>-935.31</v>
      </c>
    </row>
    <row r="57" spans="1:9" ht="50.25" hidden="1" customHeight="1">
      <c r="A57" s="140" t="s">
        <v>299</v>
      </c>
      <c r="B57" s="49"/>
      <c r="C57" s="44" t="s">
        <v>298</v>
      </c>
      <c r="D57" s="159"/>
      <c r="E57" s="159"/>
      <c r="F57" s="159">
        <f t="shared" si="5"/>
        <v>0</v>
      </c>
      <c r="G57" s="159">
        <f t="shared" si="6"/>
        <v>0</v>
      </c>
      <c r="H57" s="159">
        <f t="shared" si="7"/>
        <v>0</v>
      </c>
      <c r="I57" s="159">
        <f>D57-E57</f>
        <v>0</v>
      </c>
    </row>
    <row r="58" spans="1:9" ht="86.25" hidden="1" customHeight="1">
      <c r="A58" s="140" t="s">
        <v>323</v>
      </c>
      <c r="B58" s="49"/>
      <c r="C58" s="44" t="s">
        <v>301</v>
      </c>
      <c r="D58" s="159"/>
      <c r="E58" s="159"/>
      <c r="F58" s="159">
        <f t="shared" si="5"/>
        <v>0</v>
      </c>
      <c r="G58" s="159">
        <f t="shared" si="6"/>
        <v>0</v>
      </c>
      <c r="H58" s="159">
        <f t="shared" si="7"/>
        <v>0</v>
      </c>
      <c r="I58" s="159" t="str">
        <f t="shared" si="8"/>
        <v>-</v>
      </c>
    </row>
    <row r="59" spans="1:9" ht="33" hidden="1" customHeight="1">
      <c r="A59" s="140" t="s">
        <v>300</v>
      </c>
      <c r="B59" s="49"/>
      <c r="C59" s="44" t="s">
        <v>264</v>
      </c>
      <c r="D59" s="159"/>
      <c r="E59" s="159"/>
      <c r="F59" s="159">
        <f t="shared" si="5"/>
        <v>0</v>
      </c>
      <c r="G59" s="159">
        <f t="shared" si="6"/>
        <v>0</v>
      </c>
      <c r="H59" s="159">
        <f t="shared" si="7"/>
        <v>0</v>
      </c>
      <c r="I59" s="159" t="str">
        <f t="shared" si="8"/>
        <v>-</v>
      </c>
    </row>
    <row r="60" spans="1:9" ht="33" hidden="1" customHeight="1">
      <c r="A60" s="143" t="s">
        <v>282</v>
      </c>
      <c r="B60" s="49"/>
      <c r="C60" s="44" t="s">
        <v>289</v>
      </c>
      <c r="D60" s="159">
        <v>0</v>
      </c>
      <c r="E60" s="159">
        <v>0</v>
      </c>
      <c r="F60" s="159">
        <f t="shared" si="5"/>
        <v>0</v>
      </c>
      <c r="G60" s="159">
        <f t="shared" si="6"/>
        <v>0</v>
      </c>
      <c r="H60" s="159">
        <f t="shared" si="7"/>
        <v>0</v>
      </c>
      <c r="I60" s="159" t="str">
        <f t="shared" si="8"/>
        <v>-</v>
      </c>
    </row>
    <row r="61" spans="1:9" ht="44.25" customHeight="1">
      <c r="A61" s="139" t="s">
        <v>210</v>
      </c>
      <c r="B61" s="46"/>
      <c r="C61" s="47" t="s">
        <v>262</v>
      </c>
      <c r="D61" s="158">
        <f>5800-5800</f>
        <v>0</v>
      </c>
      <c r="E61" s="158">
        <v>0</v>
      </c>
      <c r="F61" s="158">
        <f t="shared" si="5"/>
        <v>0</v>
      </c>
      <c r="G61" s="158">
        <f t="shared" si="6"/>
        <v>0</v>
      </c>
      <c r="H61" s="159">
        <f t="shared" si="7"/>
        <v>0</v>
      </c>
      <c r="I61" s="159" t="str">
        <f t="shared" si="8"/>
        <v>-</v>
      </c>
    </row>
    <row r="62" spans="1:9" ht="12.75" hidden="1" customHeight="1">
      <c r="A62" s="140" t="s">
        <v>211</v>
      </c>
      <c r="B62" s="49"/>
      <c r="C62" s="44" t="s">
        <v>263</v>
      </c>
      <c r="D62" s="159"/>
      <c r="E62" s="159"/>
      <c r="F62" s="159">
        <f t="shared" si="5"/>
        <v>0</v>
      </c>
      <c r="G62" s="159">
        <f t="shared" si="6"/>
        <v>0</v>
      </c>
      <c r="H62" s="159">
        <f t="shared" si="7"/>
        <v>0</v>
      </c>
      <c r="I62" s="159" t="str">
        <f t="shared" si="8"/>
        <v>-</v>
      </c>
    </row>
    <row r="63" spans="1:9" ht="27.75" customHeight="1">
      <c r="A63" s="140" t="s">
        <v>212</v>
      </c>
      <c r="B63" s="49"/>
      <c r="C63" s="44" t="s">
        <v>264</v>
      </c>
      <c r="D63" s="159">
        <v>0</v>
      </c>
      <c r="E63" s="159">
        <v>19866</v>
      </c>
      <c r="F63" s="159">
        <f t="shared" si="5"/>
        <v>0</v>
      </c>
      <c r="G63" s="159">
        <f t="shared" si="6"/>
        <v>0</v>
      </c>
      <c r="H63" s="159">
        <f t="shared" si="7"/>
        <v>19866</v>
      </c>
      <c r="I63" s="159">
        <f t="shared" si="8"/>
        <v>-19866</v>
      </c>
    </row>
    <row r="64" spans="1:9" ht="30" customHeight="1">
      <c r="A64" s="140" t="s">
        <v>213</v>
      </c>
      <c r="B64" s="49"/>
      <c r="C64" s="44" t="s">
        <v>265</v>
      </c>
      <c r="D64" s="159"/>
      <c r="E64" s="159">
        <v>30055</v>
      </c>
      <c r="F64" s="159">
        <f t="shared" si="5"/>
        <v>0</v>
      </c>
      <c r="G64" s="159">
        <f t="shared" si="6"/>
        <v>0</v>
      </c>
      <c r="H64" s="159">
        <f t="shared" si="7"/>
        <v>30055</v>
      </c>
      <c r="I64" s="159">
        <f t="shared" si="8"/>
        <v>-30055</v>
      </c>
    </row>
    <row r="65" spans="1:9" ht="27" customHeight="1">
      <c r="A65" s="139" t="s">
        <v>214</v>
      </c>
      <c r="B65" s="46" t="s">
        <v>225</v>
      </c>
      <c r="C65" s="47" t="s">
        <v>266</v>
      </c>
      <c r="D65" s="158">
        <f>D66</f>
        <v>9096647</v>
      </c>
      <c r="E65" s="158">
        <f t="shared" ref="E65" si="12">E66</f>
        <v>4309522</v>
      </c>
      <c r="F65" s="158">
        <f t="shared" si="5"/>
        <v>0</v>
      </c>
      <c r="G65" s="158">
        <f t="shared" si="6"/>
        <v>0</v>
      </c>
      <c r="H65" s="159">
        <f t="shared" si="7"/>
        <v>4309522</v>
      </c>
      <c r="I65" s="158">
        <f t="shared" ref="I65:I66" si="13">IF(OR(D65="-",E65=D65),"-",D65-IF(E65="-",0,E65))</f>
        <v>4787125</v>
      </c>
    </row>
    <row r="66" spans="1:9" ht="47.25" customHeight="1">
      <c r="A66" s="140" t="s">
        <v>215</v>
      </c>
      <c r="B66" s="49" t="s">
        <v>225</v>
      </c>
      <c r="C66" s="44" t="s">
        <v>267</v>
      </c>
      <c r="D66" s="159">
        <f>D67+D70+D80</f>
        <v>9096647</v>
      </c>
      <c r="E66" s="159">
        <f>E67+E70+E80+E85</f>
        <v>4309522</v>
      </c>
      <c r="F66" s="159">
        <f t="shared" si="5"/>
        <v>0</v>
      </c>
      <c r="G66" s="159">
        <f t="shared" si="6"/>
        <v>0</v>
      </c>
      <c r="H66" s="159">
        <f t="shared" si="7"/>
        <v>4309522</v>
      </c>
      <c r="I66" s="159">
        <f t="shared" si="13"/>
        <v>4787125</v>
      </c>
    </row>
    <row r="67" spans="1:9" ht="39.75" customHeight="1">
      <c r="A67" s="140" t="s">
        <v>216</v>
      </c>
      <c r="B67" s="49" t="s">
        <v>225</v>
      </c>
      <c r="C67" s="44" t="s">
        <v>268</v>
      </c>
      <c r="D67" s="159">
        <f>D68</f>
        <v>4389630</v>
      </c>
      <c r="E67" s="159">
        <f t="shared" ref="E67:I67" si="14">E68</f>
        <v>3450206</v>
      </c>
      <c r="F67" s="159">
        <f t="shared" si="5"/>
        <v>0</v>
      </c>
      <c r="G67" s="159">
        <f t="shared" si="6"/>
        <v>0</v>
      </c>
      <c r="H67" s="159">
        <f t="shared" si="7"/>
        <v>3450206</v>
      </c>
      <c r="I67" s="159">
        <f t="shared" si="14"/>
        <v>939424</v>
      </c>
    </row>
    <row r="68" spans="1:9" ht="36.75" customHeight="1">
      <c r="A68" s="140" t="s">
        <v>217</v>
      </c>
      <c r="B68" s="49" t="s">
        <v>225</v>
      </c>
      <c r="C68" s="44" t="s">
        <v>269</v>
      </c>
      <c r="D68" s="159">
        <f>D69</f>
        <v>4389630</v>
      </c>
      <c r="E68" s="159">
        <f>E69</f>
        <v>3450206</v>
      </c>
      <c r="F68" s="159">
        <f t="shared" si="5"/>
        <v>0</v>
      </c>
      <c r="G68" s="159">
        <f t="shared" si="6"/>
        <v>0</v>
      </c>
      <c r="H68" s="159">
        <f t="shared" si="7"/>
        <v>3450206</v>
      </c>
      <c r="I68" s="159">
        <f t="shared" ref="I68:I89" si="15">IF(OR(D68="-",E68=D68),"-",D68-IF(E68="-",0,E68))</f>
        <v>939424</v>
      </c>
    </row>
    <row r="69" spans="1:9" ht="32.25" customHeight="1">
      <c r="A69" s="140" t="s">
        <v>218</v>
      </c>
      <c r="B69" s="49" t="s">
        <v>225</v>
      </c>
      <c r="C69" s="44" t="s">
        <v>270</v>
      </c>
      <c r="D69" s="159">
        <v>4389630</v>
      </c>
      <c r="E69" s="159">
        <v>3450206</v>
      </c>
      <c r="F69" s="159">
        <f t="shared" si="5"/>
        <v>0</v>
      </c>
      <c r="G69" s="159">
        <f t="shared" si="6"/>
        <v>0</v>
      </c>
      <c r="H69" s="159">
        <f t="shared" si="7"/>
        <v>3450206</v>
      </c>
      <c r="I69" s="159">
        <f t="shared" si="15"/>
        <v>939424</v>
      </c>
    </row>
    <row r="70" spans="1:9" ht="18.75" customHeight="1">
      <c r="A70" s="140" t="s">
        <v>314</v>
      </c>
      <c r="B70" s="49"/>
      <c r="C70" s="44" t="s">
        <v>315</v>
      </c>
      <c r="D70" s="159">
        <f>D71</f>
        <v>4604171</v>
      </c>
      <c r="E70" s="159">
        <f t="shared" ref="E70:E71" si="16">E71</f>
        <v>782897</v>
      </c>
      <c r="F70" s="159">
        <f t="shared" si="5"/>
        <v>0</v>
      </c>
      <c r="G70" s="159">
        <f t="shared" si="6"/>
        <v>0</v>
      </c>
      <c r="H70" s="159">
        <f t="shared" si="7"/>
        <v>782897</v>
      </c>
      <c r="I70" s="159">
        <f t="shared" si="15"/>
        <v>3821274</v>
      </c>
    </row>
    <row r="71" spans="1:9" ht="32.25" customHeight="1">
      <c r="A71" s="140" t="s">
        <v>312</v>
      </c>
      <c r="B71" s="49"/>
      <c r="C71" s="44" t="s">
        <v>313</v>
      </c>
      <c r="D71" s="159">
        <f>D72</f>
        <v>4604171</v>
      </c>
      <c r="E71" s="159">
        <f t="shared" si="16"/>
        <v>782897</v>
      </c>
      <c r="F71" s="159">
        <f>F72+F73+F75</f>
        <v>0</v>
      </c>
      <c r="G71" s="159">
        <f>G72+G73+G75</f>
        <v>0</v>
      </c>
      <c r="H71" s="159">
        <f t="shared" si="7"/>
        <v>782897</v>
      </c>
      <c r="I71" s="159">
        <f t="shared" si="15"/>
        <v>3821274</v>
      </c>
    </row>
    <row r="72" spans="1:9" ht="33.75" customHeight="1">
      <c r="A72" s="140" t="s">
        <v>310</v>
      </c>
      <c r="B72" s="49" t="s">
        <v>225</v>
      </c>
      <c r="C72" s="44" t="s">
        <v>311</v>
      </c>
      <c r="D72" s="159">
        <f>D73+D75+D76+D74+D77+D79+D78</f>
        <v>4604171</v>
      </c>
      <c r="E72" s="159">
        <f t="shared" ref="E72:I72" si="17">E73+E75+E76+E74+E77+E79+E78</f>
        <v>782897</v>
      </c>
      <c r="F72" s="159">
        <f t="shared" si="17"/>
        <v>0</v>
      </c>
      <c r="G72" s="159">
        <f t="shared" si="17"/>
        <v>0</v>
      </c>
      <c r="H72" s="159">
        <f t="shared" si="17"/>
        <v>670089</v>
      </c>
      <c r="I72" s="159" t="e">
        <f t="shared" si="17"/>
        <v>#VALUE!</v>
      </c>
    </row>
    <row r="73" spans="1:9" ht="143.25" customHeight="1">
      <c r="A73" s="136" t="s">
        <v>331</v>
      </c>
      <c r="B73" s="49" t="s">
        <v>225</v>
      </c>
      <c r="C73" s="44" t="s">
        <v>332</v>
      </c>
      <c r="D73" s="159">
        <f>40000+3666286+27935</f>
        <v>3734221</v>
      </c>
      <c r="E73" s="159">
        <v>472089</v>
      </c>
      <c r="F73" s="159">
        <f>F75+F76+F80</f>
        <v>0</v>
      </c>
      <c r="G73" s="159">
        <f>G75+G76+G80</f>
        <v>0</v>
      </c>
      <c r="H73" s="159">
        <f t="shared" si="7"/>
        <v>472089</v>
      </c>
      <c r="I73" s="159">
        <f t="shared" si="15"/>
        <v>3262132</v>
      </c>
    </row>
    <row r="74" spans="1:9" ht="120.75" customHeight="1">
      <c r="A74" s="136" t="s">
        <v>482</v>
      </c>
      <c r="B74" s="52"/>
      <c r="C74" s="44" t="s">
        <v>483</v>
      </c>
      <c r="D74" s="159">
        <v>32000</v>
      </c>
      <c r="E74" s="159"/>
      <c r="F74" s="159">
        <v>0</v>
      </c>
      <c r="G74" s="159">
        <v>0</v>
      </c>
      <c r="H74" s="159">
        <f t="shared" si="7"/>
        <v>0</v>
      </c>
      <c r="I74" s="159">
        <f t="shared" ref="I74" si="18">IF(OR(D74="-",E74=D74),"-",D74-IF(E74="-",0,E74))</f>
        <v>32000</v>
      </c>
    </row>
    <row r="75" spans="1:9" ht="112.5" customHeight="1">
      <c r="A75" s="136" t="s">
        <v>474</v>
      </c>
      <c r="B75" s="52"/>
      <c r="C75" s="44" t="s">
        <v>484</v>
      </c>
      <c r="D75" s="159">
        <v>272992</v>
      </c>
      <c r="E75" s="159">
        <v>198000</v>
      </c>
      <c r="F75" s="159">
        <v>0</v>
      </c>
      <c r="G75" s="159">
        <v>0</v>
      </c>
      <c r="H75" s="159">
        <f t="shared" si="7"/>
        <v>198000</v>
      </c>
      <c r="I75" s="159">
        <f t="shared" si="15"/>
        <v>74992</v>
      </c>
    </row>
    <row r="76" spans="1:9" ht="124.5" customHeight="1">
      <c r="A76" s="136" t="s">
        <v>326</v>
      </c>
      <c r="B76" s="52"/>
      <c r="C76" s="44" t="s">
        <v>327</v>
      </c>
      <c r="D76" s="159">
        <v>39250</v>
      </c>
      <c r="E76" s="159"/>
      <c r="F76" s="159">
        <v>0</v>
      </c>
      <c r="G76" s="159">
        <v>0</v>
      </c>
      <c r="H76" s="159">
        <v>0</v>
      </c>
      <c r="I76" s="159">
        <f t="shared" si="15"/>
        <v>39250</v>
      </c>
    </row>
    <row r="77" spans="1:9" ht="99" customHeight="1">
      <c r="A77" s="136" t="s">
        <v>501</v>
      </c>
      <c r="B77" s="52"/>
      <c r="C77" s="44" t="s">
        <v>500</v>
      </c>
      <c r="D77" s="159">
        <v>100000</v>
      </c>
      <c r="E77" s="159">
        <v>100000</v>
      </c>
      <c r="F77" s="159">
        <v>0</v>
      </c>
      <c r="G77" s="159">
        <v>0</v>
      </c>
      <c r="H77" s="159">
        <v>0</v>
      </c>
      <c r="I77" s="159" t="str">
        <f t="shared" si="15"/>
        <v>-</v>
      </c>
    </row>
    <row r="78" spans="1:9" ht="121.5" customHeight="1">
      <c r="A78" s="136" t="s">
        <v>511</v>
      </c>
      <c r="B78" s="52"/>
      <c r="C78" s="44" t="s">
        <v>275</v>
      </c>
      <c r="D78" s="159">
        <v>412900</v>
      </c>
      <c r="E78" s="159"/>
      <c r="F78" s="159">
        <v>0</v>
      </c>
      <c r="G78" s="159">
        <v>0</v>
      </c>
      <c r="H78" s="159">
        <v>0</v>
      </c>
      <c r="I78" s="159">
        <f t="shared" ref="I78" si="19">IF(OR(D78="-",E78=D78),"-",D78-IF(E78="-",0,E78))</f>
        <v>412900</v>
      </c>
    </row>
    <row r="79" spans="1:9" ht="122.25" customHeight="1">
      <c r="A79" s="136" t="s">
        <v>505</v>
      </c>
      <c r="B79" s="52"/>
      <c r="C79" s="44" t="s">
        <v>506</v>
      </c>
      <c r="D79" s="159">
        <v>12808</v>
      </c>
      <c r="E79" s="159">
        <v>12808</v>
      </c>
      <c r="F79" s="159">
        <v>0</v>
      </c>
      <c r="G79" s="159">
        <v>0</v>
      </c>
      <c r="H79" s="159">
        <v>0</v>
      </c>
      <c r="I79" s="159" t="str">
        <f t="shared" ref="I79" si="20">IF(OR(D79="-",E79=D79),"-",D79-IF(E79="-",0,E79))</f>
        <v>-</v>
      </c>
    </row>
    <row r="80" spans="1:9" ht="39" customHeight="1">
      <c r="A80" s="136" t="s">
        <v>219</v>
      </c>
      <c r="B80" s="51"/>
      <c r="C80" s="44" t="s">
        <v>271</v>
      </c>
      <c r="D80" s="159">
        <f>D81+D84</f>
        <v>102846</v>
      </c>
      <c r="E80" s="159">
        <f t="shared" ref="E80:H80" si="21">E81+E84</f>
        <v>76419</v>
      </c>
      <c r="F80" s="159">
        <f t="shared" si="21"/>
        <v>0</v>
      </c>
      <c r="G80" s="159">
        <f t="shared" si="21"/>
        <v>0</v>
      </c>
      <c r="H80" s="159">
        <f t="shared" si="21"/>
        <v>76419</v>
      </c>
      <c r="I80" s="159">
        <f t="shared" si="15"/>
        <v>26427</v>
      </c>
    </row>
    <row r="81" spans="1:9" ht="50.25" customHeight="1">
      <c r="A81" s="136" t="s">
        <v>304</v>
      </c>
      <c r="B81" s="51"/>
      <c r="C81" s="44" t="s">
        <v>308</v>
      </c>
      <c r="D81" s="159">
        <f t="shared" ref="D81:H82" si="22">D82</f>
        <v>100986</v>
      </c>
      <c r="E81" s="159">
        <f t="shared" si="22"/>
        <v>75334</v>
      </c>
      <c r="F81" s="159">
        <f t="shared" si="22"/>
        <v>0</v>
      </c>
      <c r="G81" s="159">
        <f t="shared" si="22"/>
        <v>0</v>
      </c>
      <c r="H81" s="159">
        <f t="shared" si="22"/>
        <v>75334</v>
      </c>
      <c r="I81" s="159">
        <f t="shared" si="15"/>
        <v>25652</v>
      </c>
    </row>
    <row r="82" spans="1:9" ht="57.75" customHeight="1">
      <c r="A82" s="136" t="s">
        <v>305</v>
      </c>
      <c r="B82" s="51"/>
      <c r="C82" s="44" t="s">
        <v>307</v>
      </c>
      <c r="D82" s="159">
        <f>D83</f>
        <v>100986</v>
      </c>
      <c r="E82" s="159">
        <v>75334</v>
      </c>
      <c r="F82" s="159">
        <f t="shared" si="22"/>
        <v>0</v>
      </c>
      <c r="G82" s="159">
        <f t="shared" si="22"/>
        <v>0</v>
      </c>
      <c r="H82" s="159">
        <f t="shared" si="7"/>
        <v>75334</v>
      </c>
      <c r="I82" s="159">
        <f t="shared" si="15"/>
        <v>25652</v>
      </c>
    </row>
    <row r="83" spans="1:9" ht="49.5" customHeight="1">
      <c r="A83" s="136" t="s">
        <v>306</v>
      </c>
      <c r="B83" s="52"/>
      <c r="C83" s="44" t="s">
        <v>309</v>
      </c>
      <c r="D83" s="159">
        <f>1086+99900</f>
        <v>100986</v>
      </c>
      <c r="E83" s="159">
        <f>E84</f>
        <v>1085</v>
      </c>
      <c r="F83" s="159">
        <f>F84+F85+F86</f>
        <v>0</v>
      </c>
      <c r="G83" s="159">
        <f>G84+G85+G86</f>
        <v>0</v>
      </c>
      <c r="H83" s="159">
        <f t="shared" si="7"/>
        <v>1085</v>
      </c>
      <c r="I83" s="159">
        <f t="shared" si="15"/>
        <v>99901</v>
      </c>
    </row>
    <row r="84" spans="1:9" ht="74.25" customHeight="1">
      <c r="A84" s="136" t="s">
        <v>329</v>
      </c>
      <c r="B84" s="52"/>
      <c r="C84" s="44" t="s">
        <v>330</v>
      </c>
      <c r="D84" s="159">
        <v>1860</v>
      </c>
      <c r="E84" s="159">
        <v>1085</v>
      </c>
      <c r="F84" s="159">
        <f>F85+F86+F87</f>
        <v>0</v>
      </c>
      <c r="G84" s="159">
        <f>G85+G86+G87</f>
        <v>0</v>
      </c>
      <c r="H84" s="159">
        <f t="shared" si="7"/>
        <v>1085</v>
      </c>
      <c r="I84" s="159">
        <f t="shared" si="15"/>
        <v>775</v>
      </c>
    </row>
    <row r="85" spans="1:9" ht="54" customHeight="1">
      <c r="A85" s="53" t="s">
        <v>488</v>
      </c>
      <c r="B85" s="52"/>
      <c r="C85" s="44" t="s">
        <v>487</v>
      </c>
      <c r="D85" s="159"/>
      <c r="E85" s="159">
        <v>0</v>
      </c>
      <c r="F85" s="159"/>
      <c r="G85" s="159"/>
      <c r="H85" s="159"/>
      <c r="I85" s="159" t="str">
        <f t="shared" si="15"/>
        <v>-</v>
      </c>
    </row>
    <row r="86" spans="1:9" ht="62.25" hidden="1" customHeight="1">
      <c r="A86" s="53" t="s">
        <v>220</v>
      </c>
      <c r="B86" s="52"/>
      <c r="C86" s="44" t="s">
        <v>272</v>
      </c>
      <c r="D86" s="159"/>
      <c r="E86" s="159"/>
      <c r="F86" s="50"/>
      <c r="G86" s="50"/>
      <c r="H86" s="50"/>
      <c r="I86" s="50" t="str">
        <f t="shared" si="15"/>
        <v>-</v>
      </c>
    </row>
    <row r="87" spans="1:9" ht="114" hidden="1" customHeight="1">
      <c r="A87" s="136" t="s">
        <v>221</v>
      </c>
      <c r="B87" s="52"/>
      <c r="C87" s="44" t="s">
        <v>273</v>
      </c>
      <c r="D87" s="159"/>
      <c r="E87" s="159"/>
      <c r="F87" s="50"/>
      <c r="G87" s="50"/>
      <c r="H87" s="50"/>
      <c r="I87" s="50" t="str">
        <f t="shared" si="15"/>
        <v>-</v>
      </c>
    </row>
    <row r="88" spans="1:9" ht="144.75" hidden="1" customHeight="1">
      <c r="A88" s="136" t="s">
        <v>222</v>
      </c>
      <c r="B88" s="52"/>
      <c r="C88" s="44" t="s">
        <v>274</v>
      </c>
      <c r="D88" s="159"/>
      <c r="E88" s="159"/>
      <c r="F88" s="50"/>
      <c r="G88" s="50"/>
      <c r="H88" s="50"/>
      <c r="I88" s="50" t="str">
        <f t="shared" si="15"/>
        <v>-</v>
      </c>
    </row>
    <row r="89" spans="1:9" ht="99.75" hidden="1" customHeight="1">
      <c r="A89" s="136" t="s">
        <v>223</v>
      </c>
      <c r="B89" s="52"/>
      <c r="C89" s="44" t="s">
        <v>275</v>
      </c>
      <c r="D89" s="159"/>
      <c r="E89" s="159"/>
      <c r="F89" s="50"/>
      <c r="G89" s="50"/>
      <c r="H89" s="50"/>
      <c r="I89" s="50" t="str">
        <f t="shared" si="15"/>
        <v>-</v>
      </c>
    </row>
  </sheetData>
  <mergeCells count="16">
    <mergeCell ref="I10:I14"/>
    <mergeCell ref="A10:A14"/>
    <mergeCell ref="B10:B14"/>
    <mergeCell ref="C10:C14"/>
    <mergeCell ref="D10:D14"/>
    <mergeCell ref="E10:H10"/>
    <mergeCell ref="E11:E14"/>
    <mergeCell ref="F11:F14"/>
    <mergeCell ref="G11:G14"/>
    <mergeCell ref="H11:H14"/>
    <mergeCell ref="B5:D5"/>
    <mergeCell ref="A9:D9"/>
    <mergeCell ref="A1:H1"/>
    <mergeCell ref="A2:G2"/>
    <mergeCell ref="A3:G3"/>
    <mergeCell ref="B6:F6"/>
  </mergeCells>
  <conditionalFormatting sqref="I80:I89 I68:I71 I73:I78 I16:I66">
    <cfRule type="cellIs" dxfId="1" priority="2" stopIfTrue="1" operator="equal">
      <formula>0</formula>
    </cfRule>
  </conditionalFormatting>
  <conditionalFormatting sqref="I79">
    <cfRule type="cellIs" dxfId="0" priority="1" stopIfTrue="1" operator="equal">
      <formula>0</formula>
    </cfRule>
  </conditionalFormatting>
  <pageMargins left="0.78740157480314965" right="0" top="0.74803149606299213" bottom="0.74803149606299213" header="0.31496062992125984" footer="0.31496062992125984"/>
  <pageSetup paperSize="9" scale="50" orientation="portrait" verticalDpi="4294967293" r:id="rId1"/>
  <rowBreaks count="2" manualBreakCount="2">
    <brk id="33" max="16383" man="1"/>
    <brk id="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301"/>
  <sheetViews>
    <sheetView tabSelected="1" view="pageBreakPreview" topLeftCell="A80" zoomScaleSheetLayoutView="100" workbookViewId="0">
      <selection activeCell="A166" sqref="A166"/>
    </sheetView>
  </sheetViews>
  <sheetFormatPr defaultRowHeight="16.5"/>
  <cols>
    <col min="1" max="1" width="41" style="96" customWidth="1"/>
    <col min="2" max="2" width="4.7109375" style="97" customWidth="1"/>
    <col min="3" max="3" width="23.42578125" style="113" customWidth="1"/>
    <col min="4" max="4" width="16" style="177" customWidth="1"/>
    <col min="5" max="5" width="16.7109375" style="177" customWidth="1"/>
    <col min="6" max="6" width="16.140625" style="177" customWidth="1"/>
    <col min="7" max="7" width="7.5703125" style="119" customWidth="1"/>
    <col min="8" max="8" width="7.85546875" style="119" customWidth="1"/>
    <col min="9" max="9" width="13.28515625" style="119" customWidth="1"/>
    <col min="10" max="10" width="13.42578125" style="119" customWidth="1"/>
    <col min="11" max="11" width="13" style="119" customWidth="1"/>
    <col min="12" max="16384" width="9.140625" style="63"/>
  </cols>
  <sheetData>
    <row r="1" spans="1:11" s="56" customFormat="1" ht="30" hidden="1" customHeight="1">
      <c r="C1" s="107" t="s">
        <v>0</v>
      </c>
      <c r="D1" s="161"/>
      <c r="E1" s="161"/>
      <c r="F1" s="161"/>
    </row>
    <row r="2" spans="1:11" s="56" customFormat="1" ht="12.75" hidden="1" customHeight="1">
      <c r="A2" s="57"/>
      <c r="B2" s="57"/>
      <c r="C2" s="107"/>
      <c r="D2" s="162"/>
      <c r="E2" s="162"/>
      <c r="F2" s="162"/>
      <c r="G2" s="57"/>
      <c r="H2" s="57"/>
      <c r="I2" s="57"/>
      <c r="J2" s="57"/>
      <c r="K2" s="57"/>
    </row>
    <row r="3" spans="1:11" s="56" customFormat="1" ht="12.75" hidden="1" customHeight="1">
      <c r="A3" s="57"/>
      <c r="B3" s="57"/>
      <c r="C3" s="107" t="s">
        <v>1</v>
      </c>
      <c r="D3" s="162"/>
      <c r="E3" s="162"/>
      <c r="F3" s="162"/>
      <c r="G3" s="57"/>
      <c r="H3" s="57"/>
      <c r="I3" s="57"/>
      <c r="J3" s="57"/>
      <c r="K3" s="57"/>
    </row>
    <row r="4" spans="1:11" s="56" customFormat="1" ht="12.75" hidden="1" customHeight="1">
      <c r="A4" s="57"/>
      <c r="B4" s="57"/>
      <c r="C4" s="107"/>
      <c r="D4" s="162"/>
      <c r="E4" s="162"/>
      <c r="F4" s="162"/>
      <c r="G4" s="57"/>
      <c r="H4" s="57"/>
      <c r="I4" s="57"/>
      <c r="J4" s="57"/>
      <c r="K4" s="57"/>
    </row>
    <row r="5" spans="1:11" s="56" customFormat="1" ht="12.75" hidden="1" customHeight="1">
      <c r="A5" s="57"/>
      <c r="B5" s="57"/>
      <c r="C5" s="107"/>
      <c r="D5" s="162"/>
      <c r="E5" s="162"/>
      <c r="F5" s="162"/>
      <c r="G5" s="57"/>
      <c r="H5" s="57"/>
      <c r="I5" s="57"/>
      <c r="J5" s="57"/>
      <c r="K5" s="57"/>
    </row>
    <row r="6" spans="1:11" s="56" customFormat="1" ht="12.75" hidden="1" customHeight="1">
      <c r="A6" s="57" t="s">
        <v>2</v>
      </c>
      <c r="B6" s="57"/>
      <c r="C6" s="107"/>
      <c r="D6" s="162"/>
      <c r="E6" s="162"/>
      <c r="F6" s="162"/>
      <c r="G6" s="57"/>
      <c r="H6" s="57"/>
      <c r="I6" s="57"/>
      <c r="J6" s="57"/>
      <c r="K6" s="57"/>
    </row>
    <row r="7" spans="1:11" s="56" customFormat="1" ht="12.75" hidden="1" customHeight="1">
      <c r="A7" s="57" t="s">
        <v>3</v>
      </c>
      <c r="B7" s="57"/>
      <c r="C7" s="107"/>
      <c r="D7" s="162"/>
      <c r="E7" s="162"/>
      <c r="F7" s="162"/>
      <c r="G7" s="57"/>
      <c r="H7" s="57"/>
      <c r="I7" s="57"/>
      <c r="J7" s="57"/>
      <c r="K7" s="57"/>
    </row>
    <row r="8" spans="1:11" s="56" customFormat="1">
      <c r="A8" s="57"/>
      <c r="B8" s="57"/>
      <c r="C8" s="57" t="s">
        <v>7</v>
      </c>
      <c r="D8" s="162"/>
      <c r="E8" s="162"/>
      <c r="F8" s="162"/>
      <c r="G8" s="57"/>
      <c r="H8" s="57"/>
      <c r="I8" s="57"/>
      <c r="J8" s="118" t="s">
        <v>277</v>
      </c>
    </row>
    <row r="9" spans="1:11" s="59" customFormat="1" ht="25.5" customHeight="1">
      <c r="A9" s="200" t="s">
        <v>4</v>
      </c>
      <c r="B9" s="200" t="s">
        <v>28</v>
      </c>
      <c r="C9" s="203" t="s">
        <v>343</v>
      </c>
      <c r="D9" s="200" t="s">
        <v>33</v>
      </c>
      <c r="E9" s="200" t="s">
        <v>8</v>
      </c>
      <c r="F9" s="201" t="s">
        <v>5</v>
      </c>
      <c r="G9" s="205"/>
      <c r="H9" s="205"/>
      <c r="I9" s="202"/>
      <c r="J9" s="201" t="s">
        <v>6</v>
      </c>
      <c r="K9" s="202"/>
    </row>
    <row r="10" spans="1:11" s="59" customFormat="1" ht="55.5" customHeight="1">
      <c r="A10" s="200"/>
      <c r="B10" s="200"/>
      <c r="C10" s="204"/>
      <c r="D10" s="200"/>
      <c r="E10" s="200"/>
      <c r="F10" s="106" t="s">
        <v>34</v>
      </c>
      <c r="G10" s="106" t="s">
        <v>335</v>
      </c>
      <c r="H10" s="106" t="s">
        <v>36</v>
      </c>
      <c r="I10" s="106" t="s">
        <v>336</v>
      </c>
      <c r="J10" s="105" t="s">
        <v>9</v>
      </c>
      <c r="K10" s="105" t="s">
        <v>10</v>
      </c>
    </row>
    <row r="11" spans="1:11" s="121" customFormat="1">
      <c r="A11" s="120">
        <v>1</v>
      </c>
      <c r="B11" s="120" t="s">
        <v>29</v>
      </c>
      <c r="C11" s="120">
        <v>3</v>
      </c>
      <c r="D11" s="163">
        <v>4</v>
      </c>
      <c r="E11" s="163">
        <v>5</v>
      </c>
      <c r="F11" s="163">
        <v>6</v>
      </c>
      <c r="G11" s="120">
        <v>7</v>
      </c>
      <c r="H11" s="120">
        <v>8</v>
      </c>
      <c r="I11" s="120">
        <v>9</v>
      </c>
      <c r="J11" s="120">
        <v>10</v>
      </c>
      <c r="K11" s="120">
        <v>11</v>
      </c>
    </row>
    <row r="12" spans="1:11" s="59" customFormat="1">
      <c r="A12" s="122" t="s">
        <v>341</v>
      </c>
      <c r="B12" s="60" t="s">
        <v>342</v>
      </c>
      <c r="C12" s="114"/>
      <c r="D12" s="164">
        <f>D300</f>
        <v>10720427.48</v>
      </c>
      <c r="E12" s="164">
        <f t="shared" ref="E12:K12" si="0">E300</f>
        <v>10720427.48</v>
      </c>
      <c r="F12" s="164">
        <f t="shared" si="0"/>
        <v>6070296.3399999999</v>
      </c>
      <c r="G12" s="147">
        <f t="shared" si="0"/>
        <v>0</v>
      </c>
      <c r="H12" s="147">
        <f t="shared" si="0"/>
        <v>0</v>
      </c>
      <c r="I12" s="147">
        <f t="shared" si="0"/>
        <v>6070296.3399999999</v>
      </c>
      <c r="J12" s="147">
        <f t="shared" si="0"/>
        <v>4650131.1400000006</v>
      </c>
      <c r="K12" s="147">
        <f t="shared" si="0"/>
        <v>4650131.1400000006</v>
      </c>
    </row>
    <row r="13" spans="1:11" s="59" customFormat="1">
      <c r="A13" s="103" t="s">
        <v>43</v>
      </c>
      <c r="B13" s="103"/>
      <c r="C13" s="114"/>
      <c r="D13" s="165"/>
      <c r="E13" s="165"/>
      <c r="F13" s="165"/>
      <c r="G13" s="148"/>
      <c r="H13" s="148"/>
      <c r="I13" s="148"/>
      <c r="J13" s="148"/>
      <c r="K13" s="148"/>
    </row>
    <row r="14" spans="1:11" s="59" customFormat="1">
      <c r="A14" s="45" t="s">
        <v>122</v>
      </c>
      <c r="B14" s="58"/>
      <c r="C14" s="134" t="s">
        <v>156</v>
      </c>
      <c r="D14" s="164">
        <f t="shared" ref="D14:K14" si="1">D15+D23+D91+D103+D86+D89</f>
        <v>5055606.3800000008</v>
      </c>
      <c r="E14" s="164">
        <f t="shared" si="1"/>
        <v>5055606.3800000008</v>
      </c>
      <c r="F14" s="164">
        <f t="shared" si="1"/>
        <v>3002090.3800000008</v>
      </c>
      <c r="G14" s="147">
        <f t="shared" si="1"/>
        <v>0</v>
      </c>
      <c r="H14" s="147">
        <f t="shared" si="1"/>
        <v>0</v>
      </c>
      <c r="I14" s="147">
        <f t="shared" si="1"/>
        <v>3002090.3800000008</v>
      </c>
      <c r="J14" s="147">
        <f t="shared" si="1"/>
        <v>2053515.9999999998</v>
      </c>
      <c r="K14" s="147">
        <f t="shared" si="1"/>
        <v>2053515.9999999998</v>
      </c>
    </row>
    <row r="15" spans="1:11" s="61" customFormat="1" ht="36.75" customHeight="1">
      <c r="A15" s="130" t="s">
        <v>123</v>
      </c>
      <c r="B15" s="60"/>
      <c r="C15" s="134" t="s">
        <v>328</v>
      </c>
      <c r="D15" s="164">
        <f>D16</f>
        <v>643347</v>
      </c>
      <c r="E15" s="164">
        <f t="shared" ref="E15:K15" si="2">E16</f>
        <v>643347</v>
      </c>
      <c r="F15" s="164">
        <f t="shared" si="2"/>
        <v>482509.10000000003</v>
      </c>
      <c r="G15" s="147">
        <f t="shared" si="2"/>
        <v>0</v>
      </c>
      <c r="H15" s="147">
        <f t="shared" si="2"/>
        <v>0</v>
      </c>
      <c r="I15" s="147">
        <f>I16</f>
        <v>482509.10000000003</v>
      </c>
      <c r="J15" s="147">
        <f t="shared" si="2"/>
        <v>160837.89999999997</v>
      </c>
      <c r="K15" s="147">
        <f t="shared" si="2"/>
        <v>160837.89999999997</v>
      </c>
    </row>
    <row r="16" spans="1:11" s="59" customFormat="1" ht="22.5" customHeight="1">
      <c r="A16" s="48" t="s">
        <v>137</v>
      </c>
      <c r="B16" s="58"/>
      <c r="C16" s="116" t="s">
        <v>357</v>
      </c>
      <c r="D16" s="166">
        <f t="shared" ref="D16:K16" si="3">D17+D20</f>
        <v>643347</v>
      </c>
      <c r="E16" s="166">
        <f>E17+E20</f>
        <v>643347</v>
      </c>
      <c r="F16" s="166">
        <f t="shared" ref="F16" si="4">F17+F20</f>
        <v>482509.10000000003</v>
      </c>
      <c r="G16" s="149">
        <f t="shared" si="3"/>
        <v>0</v>
      </c>
      <c r="H16" s="149">
        <f>H17+H20</f>
        <v>0</v>
      </c>
      <c r="I16" s="149">
        <f>I17+I20</f>
        <v>482509.10000000003</v>
      </c>
      <c r="J16" s="149">
        <f>J17+J20</f>
        <v>160837.89999999997</v>
      </c>
      <c r="K16" s="149">
        <f t="shared" si="3"/>
        <v>160837.89999999997</v>
      </c>
    </row>
    <row r="17" spans="1:11" ht="18.75" customHeight="1">
      <c r="A17" s="62" t="s">
        <v>21</v>
      </c>
      <c r="B17" s="27"/>
      <c r="C17" s="108" t="s">
        <v>354</v>
      </c>
      <c r="D17" s="167">
        <v>494122</v>
      </c>
      <c r="E17" s="167">
        <f>D17</f>
        <v>494122</v>
      </c>
      <c r="F17" s="168">
        <v>370591.4</v>
      </c>
      <c r="G17" s="150">
        <v>0</v>
      </c>
      <c r="H17" s="150">
        <v>0</v>
      </c>
      <c r="I17" s="150">
        <f>F17+G17+H17</f>
        <v>370591.4</v>
      </c>
      <c r="J17" s="150">
        <f>D17-I17</f>
        <v>123530.59999999998</v>
      </c>
      <c r="K17" s="150">
        <f>E17-I17</f>
        <v>123530.59999999998</v>
      </c>
    </row>
    <row r="18" spans="1:11" ht="20.25" customHeight="1">
      <c r="A18" s="64" t="s">
        <v>97</v>
      </c>
      <c r="B18" s="27"/>
      <c r="C18" s="108" t="s">
        <v>355</v>
      </c>
      <c r="D18" s="168">
        <v>108705</v>
      </c>
      <c r="E18" s="167">
        <f t="shared" ref="E18:E19" si="5">D18</f>
        <v>108705</v>
      </c>
      <c r="F18" s="168">
        <v>81528.7</v>
      </c>
      <c r="G18" s="150">
        <v>0</v>
      </c>
      <c r="H18" s="150">
        <v>0</v>
      </c>
      <c r="I18" s="150">
        <f t="shared" ref="I18:I82" si="6">F18+G18+H18</f>
        <v>81528.7</v>
      </c>
      <c r="J18" s="150">
        <f t="shared" ref="J18:J82" si="7">D18-I18</f>
        <v>27176.300000000003</v>
      </c>
      <c r="K18" s="150">
        <f t="shared" ref="K18:K82" si="8">E18-I18</f>
        <v>27176.300000000003</v>
      </c>
    </row>
    <row r="19" spans="1:11" ht="19.5" customHeight="1">
      <c r="A19" s="64" t="s">
        <v>98</v>
      </c>
      <c r="B19" s="27"/>
      <c r="C19" s="108" t="s">
        <v>356</v>
      </c>
      <c r="D19" s="168">
        <v>40520</v>
      </c>
      <c r="E19" s="167">
        <f t="shared" si="5"/>
        <v>40520</v>
      </c>
      <c r="F19" s="168">
        <v>30389</v>
      </c>
      <c r="G19" s="150">
        <v>0</v>
      </c>
      <c r="H19" s="150">
        <v>0</v>
      </c>
      <c r="I19" s="150">
        <f t="shared" si="6"/>
        <v>30389</v>
      </c>
      <c r="J19" s="150">
        <f t="shared" si="7"/>
        <v>10131</v>
      </c>
      <c r="K19" s="150">
        <f t="shared" si="8"/>
        <v>10131</v>
      </c>
    </row>
    <row r="20" spans="1:11" s="66" customFormat="1" ht="21" customHeight="1">
      <c r="A20" s="48" t="s">
        <v>138</v>
      </c>
      <c r="B20" s="65"/>
      <c r="C20" s="110"/>
      <c r="D20" s="169">
        <f t="shared" ref="D20:H20" si="9">SUM(D18:D19)</f>
        <v>149225</v>
      </c>
      <c r="E20" s="170">
        <f t="shared" si="9"/>
        <v>149225</v>
      </c>
      <c r="F20" s="170">
        <f t="shared" ref="F20" si="10">SUM(F18:F19)</f>
        <v>111917.7</v>
      </c>
      <c r="G20" s="151">
        <f t="shared" si="9"/>
        <v>0</v>
      </c>
      <c r="H20" s="151">
        <f t="shared" si="9"/>
        <v>0</v>
      </c>
      <c r="I20" s="150">
        <f t="shared" si="6"/>
        <v>111917.7</v>
      </c>
      <c r="J20" s="150">
        <f t="shared" si="7"/>
        <v>37307.300000000003</v>
      </c>
      <c r="K20" s="150">
        <f t="shared" si="8"/>
        <v>37307.300000000003</v>
      </c>
    </row>
    <row r="21" spans="1:11" s="66" customFormat="1" ht="17.25">
      <c r="A21" s="67"/>
      <c r="B21" s="65"/>
      <c r="C21" s="110"/>
      <c r="D21" s="169"/>
      <c r="E21" s="170"/>
      <c r="F21" s="170"/>
      <c r="G21" s="151"/>
      <c r="H21" s="151"/>
      <c r="I21" s="150"/>
      <c r="J21" s="150"/>
      <c r="K21" s="150"/>
    </row>
    <row r="22" spans="1:11" s="66" customFormat="1" ht="43.5">
      <c r="A22" s="130" t="s">
        <v>124</v>
      </c>
      <c r="B22" s="65"/>
      <c r="C22" s="135" t="s">
        <v>155</v>
      </c>
      <c r="D22" s="170">
        <f>D23+D81</f>
        <v>4355653.1800000006</v>
      </c>
      <c r="E22" s="170">
        <f>E23+E81</f>
        <v>4355653.1800000006</v>
      </c>
      <c r="F22" s="170">
        <f>F23+F81</f>
        <v>2513094.2800000007</v>
      </c>
      <c r="G22" s="151">
        <f>G23+G81</f>
        <v>0</v>
      </c>
      <c r="H22" s="151">
        <f>H23+H81</f>
        <v>0</v>
      </c>
      <c r="I22" s="152">
        <f t="shared" si="6"/>
        <v>2513094.2800000007</v>
      </c>
      <c r="J22" s="152">
        <f t="shared" si="7"/>
        <v>1842558.9</v>
      </c>
      <c r="K22" s="152">
        <f t="shared" si="8"/>
        <v>1842558.9</v>
      </c>
    </row>
    <row r="23" spans="1:11" s="55" customFormat="1" ht="27">
      <c r="A23" s="67" t="s">
        <v>161</v>
      </c>
      <c r="B23" s="54"/>
      <c r="C23" s="109" t="s">
        <v>160</v>
      </c>
      <c r="D23" s="171">
        <f>D44+D58+D67+D72+D69+D74+D73+D77+D80</f>
        <v>4355653.1800000006</v>
      </c>
      <c r="E23" s="171">
        <f>E44+E58+E67+E72+E69+E74+E73+E77+E80</f>
        <v>4355653.1800000006</v>
      </c>
      <c r="F23" s="171">
        <f>F44+F58+F67+F72+F69+F74+F73+F77+F80</f>
        <v>2513094.2800000007</v>
      </c>
      <c r="G23" s="152">
        <f>G44+G58+G67+G72+G69+G74+G73+G77+G80</f>
        <v>0</v>
      </c>
      <c r="H23" s="152">
        <f>H44+H58+H67+H72+H69+H74+H73+H77+H80</f>
        <v>0</v>
      </c>
      <c r="I23" s="152">
        <f t="shared" si="6"/>
        <v>2513094.2800000007</v>
      </c>
      <c r="J23" s="152">
        <f t="shared" si="7"/>
        <v>1842558.9</v>
      </c>
      <c r="K23" s="152">
        <f t="shared" si="8"/>
        <v>1842558.9</v>
      </c>
    </row>
    <row r="24" spans="1:11" ht="12.75" hidden="1" customHeight="1">
      <c r="A24" s="62" t="s">
        <v>21</v>
      </c>
      <c r="B24" s="27"/>
      <c r="C24" s="108" t="s">
        <v>109</v>
      </c>
      <c r="D24" s="168"/>
      <c r="E24" s="168"/>
      <c r="F24" s="168"/>
      <c r="G24" s="150"/>
      <c r="H24" s="150"/>
      <c r="I24" s="152">
        <f t="shared" si="6"/>
        <v>0</v>
      </c>
      <c r="J24" s="152">
        <f t="shared" si="7"/>
        <v>0</v>
      </c>
      <c r="K24" s="152">
        <f t="shared" si="8"/>
        <v>0</v>
      </c>
    </row>
    <row r="25" spans="1:11" ht="12.75" hidden="1" customHeight="1">
      <c r="A25" s="64" t="s">
        <v>97</v>
      </c>
      <c r="B25" s="27"/>
      <c r="C25" s="108" t="s">
        <v>110</v>
      </c>
      <c r="D25" s="168"/>
      <c r="E25" s="168"/>
      <c r="F25" s="168"/>
      <c r="G25" s="150"/>
      <c r="H25" s="150"/>
      <c r="I25" s="152">
        <f t="shared" si="6"/>
        <v>0</v>
      </c>
      <c r="J25" s="152">
        <f t="shared" si="7"/>
        <v>0</v>
      </c>
      <c r="K25" s="152">
        <f t="shared" si="8"/>
        <v>0</v>
      </c>
    </row>
    <row r="26" spans="1:11" ht="14.25" hidden="1" customHeight="1">
      <c r="A26" s="64" t="s">
        <v>98</v>
      </c>
      <c r="B26" s="27"/>
      <c r="C26" s="108" t="s">
        <v>111</v>
      </c>
      <c r="D26" s="168"/>
      <c r="E26" s="168"/>
      <c r="F26" s="168"/>
      <c r="G26" s="150"/>
      <c r="H26" s="150"/>
      <c r="I26" s="152">
        <f t="shared" si="6"/>
        <v>0</v>
      </c>
      <c r="J26" s="152">
        <f t="shared" si="7"/>
        <v>0</v>
      </c>
      <c r="K26" s="152">
        <f t="shared" si="8"/>
        <v>0</v>
      </c>
    </row>
    <row r="27" spans="1:11" s="66" customFormat="1" ht="13.5" hidden="1" customHeight="1">
      <c r="A27" s="67" t="s">
        <v>77</v>
      </c>
      <c r="B27" s="65"/>
      <c r="C27" s="110"/>
      <c r="D27" s="170">
        <f t="shared" ref="D27:H27" si="11">SUM(D25:D26)</f>
        <v>0</v>
      </c>
      <c r="E27" s="170">
        <f t="shared" si="11"/>
        <v>0</v>
      </c>
      <c r="F27" s="170">
        <f t="shared" ref="F27" si="12">SUM(F25:F26)</f>
        <v>0</v>
      </c>
      <c r="G27" s="151">
        <f t="shared" si="11"/>
        <v>0</v>
      </c>
      <c r="H27" s="151">
        <f t="shared" si="11"/>
        <v>0</v>
      </c>
      <c r="I27" s="152">
        <f t="shared" si="6"/>
        <v>0</v>
      </c>
      <c r="J27" s="152">
        <f t="shared" si="7"/>
        <v>0</v>
      </c>
      <c r="K27" s="152">
        <f t="shared" si="8"/>
        <v>0</v>
      </c>
    </row>
    <row r="28" spans="1:11" s="55" customFormat="1" ht="12.75" hidden="1" customHeight="1">
      <c r="A28" s="68" t="s">
        <v>112</v>
      </c>
      <c r="B28" s="54"/>
      <c r="C28" s="108"/>
      <c r="D28" s="171">
        <f>D24+D27</f>
        <v>0</v>
      </c>
      <c r="E28" s="171">
        <f t="shared" ref="E28:H28" si="13">E24+E27</f>
        <v>0</v>
      </c>
      <c r="F28" s="171">
        <f t="shared" ref="F28" si="14">F24+F27</f>
        <v>0</v>
      </c>
      <c r="G28" s="152">
        <f t="shared" si="13"/>
        <v>0</v>
      </c>
      <c r="H28" s="152">
        <f t="shared" si="13"/>
        <v>0</v>
      </c>
      <c r="I28" s="152">
        <f t="shared" si="6"/>
        <v>0</v>
      </c>
      <c r="J28" s="152">
        <f t="shared" si="7"/>
        <v>0</v>
      </c>
      <c r="K28" s="152">
        <f t="shared" si="8"/>
        <v>0</v>
      </c>
    </row>
    <row r="29" spans="1:11" s="55" customFormat="1" ht="12.75" hidden="1" customHeight="1">
      <c r="A29" s="68"/>
      <c r="B29" s="54"/>
      <c r="C29" s="108"/>
      <c r="D29" s="171"/>
      <c r="E29" s="171"/>
      <c r="F29" s="171"/>
      <c r="G29" s="152"/>
      <c r="H29" s="152"/>
      <c r="I29" s="152">
        <f t="shared" si="6"/>
        <v>0</v>
      </c>
      <c r="J29" s="152">
        <f t="shared" si="7"/>
        <v>0</v>
      </c>
      <c r="K29" s="152">
        <f t="shared" si="8"/>
        <v>0</v>
      </c>
    </row>
    <row r="30" spans="1:11" s="55" customFormat="1" ht="12.75" hidden="1" customHeight="1">
      <c r="A30" s="68" t="s">
        <v>103</v>
      </c>
      <c r="B30" s="54"/>
      <c r="C30" s="108"/>
      <c r="D30" s="171"/>
      <c r="E30" s="171"/>
      <c r="F30" s="171"/>
      <c r="G30" s="152"/>
      <c r="H30" s="152"/>
      <c r="I30" s="152">
        <f t="shared" si="6"/>
        <v>0</v>
      </c>
      <c r="J30" s="152">
        <f t="shared" si="7"/>
        <v>0</v>
      </c>
      <c r="K30" s="152">
        <f t="shared" si="8"/>
        <v>0</v>
      </c>
    </row>
    <row r="31" spans="1:11" ht="12.75" hidden="1" customHeight="1">
      <c r="A31" s="62" t="s">
        <v>21</v>
      </c>
      <c r="B31" s="27"/>
      <c r="C31" s="108" t="s">
        <v>83</v>
      </c>
      <c r="D31" s="168"/>
      <c r="E31" s="168"/>
      <c r="F31" s="168"/>
      <c r="G31" s="150"/>
      <c r="H31" s="150"/>
      <c r="I31" s="152">
        <f t="shared" si="6"/>
        <v>0</v>
      </c>
      <c r="J31" s="152">
        <f t="shared" si="7"/>
        <v>0</v>
      </c>
      <c r="K31" s="152">
        <f t="shared" si="8"/>
        <v>0</v>
      </c>
    </row>
    <row r="32" spans="1:11" ht="12.75" hidden="1" customHeight="1">
      <c r="A32" s="64" t="s">
        <v>97</v>
      </c>
      <c r="B32" s="27"/>
      <c r="C32" s="108" t="s">
        <v>84</v>
      </c>
      <c r="D32" s="168"/>
      <c r="E32" s="168"/>
      <c r="F32" s="168"/>
      <c r="G32" s="150"/>
      <c r="H32" s="150"/>
      <c r="I32" s="152">
        <f t="shared" si="6"/>
        <v>0</v>
      </c>
      <c r="J32" s="152">
        <f t="shared" si="7"/>
        <v>0</v>
      </c>
      <c r="K32" s="152">
        <f t="shared" si="8"/>
        <v>0</v>
      </c>
    </row>
    <row r="33" spans="1:11" ht="14.25" hidden="1" customHeight="1">
      <c r="A33" s="69" t="s">
        <v>98</v>
      </c>
      <c r="B33" s="27"/>
      <c r="C33" s="108" t="s">
        <v>85</v>
      </c>
      <c r="D33" s="168"/>
      <c r="E33" s="168"/>
      <c r="F33" s="168"/>
      <c r="G33" s="150"/>
      <c r="H33" s="150"/>
      <c r="I33" s="152">
        <f t="shared" si="6"/>
        <v>0</v>
      </c>
      <c r="J33" s="152">
        <f t="shared" si="7"/>
        <v>0</v>
      </c>
      <c r="K33" s="152">
        <f t="shared" si="8"/>
        <v>0</v>
      </c>
    </row>
    <row r="34" spans="1:11" s="66" customFormat="1" ht="13.5" hidden="1" customHeight="1">
      <c r="A34" s="67" t="s">
        <v>77</v>
      </c>
      <c r="B34" s="65"/>
      <c r="C34" s="110"/>
      <c r="D34" s="170">
        <f t="shared" ref="D34:H34" si="15">SUM(D32:D33)</f>
        <v>0</v>
      </c>
      <c r="E34" s="170">
        <f t="shared" si="15"/>
        <v>0</v>
      </c>
      <c r="F34" s="170">
        <f t="shared" ref="F34" si="16">SUM(F32:F33)</f>
        <v>0</v>
      </c>
      <c r="G34" s="151">
        <f t="shared" si="15"/>
        <v>0</v>
      </c>
      <c r="H34" s="151">
        <f t="shared" si="15"/>
        <v>0</v>
      </c>
      <c r="I34" s="152">
        <f t="shared" si="6"/>
        <v>0</v>
      </c>
      <c r="J34" s="152">
        <f t="shared" si="7"/>
        <v>0</v>
      </c>
      <c r="K34" s="152">
        <f t="shared" si="8"/>
        <v>0</v>
      </c>
    </row>
    <row r="35" spans="1:11" s="55" customFormat="1" ht="12.75" hidden="1" customHeight="1">
      <c r="A35" s="68" t="s">
        <v>90</v>
      </c>
      <c r="B35" s="54"/>
      <c r="C35" s="109"/>
      <c r="D35" s="171">
        <f t="shared" ref="D35:H35" si="17">D31+D34</f>
        <v>0</v>
      </c>
      <c r="E35" s="171">
        <f t="shared" si="17"/>
        <v>0</v>
      </c>
      <c r="F35" s="171">
        <f t="shared" ref="F35" si="18">F31+F34</f>
        <v>0</v>
      </c>
      <c r="G35" s="152">
        <f t="shared" si="17"/>
        <v>0</v>
      </c>
      <c r="H35" s="152">
        <f t="shared" si="17"/>
        <v>0</v>
      </c>
      <c r="I35" s="152">
        <f t="shared" si="6"/>
        <v>0</v>
      </c>
      <c r="J35" s="152">
        <f t="shared" si="7"/>
        <v>0</v>
      </c>
      <c r="K35" s="152">
        <f t="shared" si="8"/>
        <v>0</v>
      </c>
    </row>
    <row r="36" spans="1:11" s="55" customFormat="1" ht="12.75" hidden="1" customHeight="1">
      <c r="A36" s="68"/>
      <c r="B36" s="54"/>
      <c r="C36" s="109"/>
      <c r="D36" s="171"/>
      <c r="E36" s="171"/>
      <c r="F36" s="171"/>
      <c r="G36" s="152"/>
      <c r="H36" s="152"/>
      <c r="I36" s="152">
        <f t="shared" si="6"/>
        <v>0</v>
      </c>
      <c r="J36" s="152">
        <f t="shared" si="7"/>
        <v>0</v>
      </c>
      <c r="K36" s="152">
        <f t="shared" si="8"/>
        <v>0</v>
      </c>
    </row>
    <row r="37" spans="1:11" s="55" customFormat="1" ht="12.75" hidden="1" customHeight="1">
      <c r="A37" s="70" t="s">
        <v>95</v>
      </c>
      <c r="B37" s="54"/>
      <c r="C37" s="109"/>
      <c r="D37" s="171"/>
      <c r="E37" s="171"/>
      <c r="F37" s="171"/>
      <c r="G37" s="152"/>
      <c r="H37" s="152"/>
      <c r="I37" s="152">
        <f t="shared" si="6"/>
        <v>0</v>
      </c>
      <c r="J37" s="152">
        <f t="shared" si="7"/>
        <v>0</v>
      </c>
      <c r="K37" s="152">
        <f t="shared" si="8"/>
        <v>0</v>
      </c>
    </row>
    <row r="38" spans="1:11" ht="12.75" hidden="1" customHeight="1">
      <c r="A38" s="62" t="s">
        <v>21</v>
      </c>
      <c r="B38" s="27"/>
      <c r="C38" s="108" t="s">
        <v>86</v>
      </c>
      <c r="D38" s="168">
        <f t="shared" ref="D38:H38" si="19">D17+D24+D31</f>
        <v>494122</v>
      </c>
      <c r="E38" s="168">
        <f t="shared" si="19"/>
        <v>494122</v>
      </c>
      <c r="F38" s="168">
        <f t="shared" ref="F38" si="20">F17+F24+F31</f>
        <v>370591.4</v>
      </c>
      <c r="G38" s="150">
        <f t="shared" si="19"/>
        <v>0</v>
      </c>
      <c r="H38" s="150">
        <f t="shared" si="19"/>
        <v>0</v>
      </c>
      <c r="I38" s="152">
        <f t="shared" si="6"/>
        <v>370591.4</v>
      </c>
      <c r="J38" s="152">
        <f t="shared" si="7"/>
        <v>123530.59999999998</v>
      </c>
      <c r="K38" s="152">
        <f t="shared" si="8"/>
        <v>123530.59999999998</v>
      </c>
    </row>
    <row r="39" spans="1:11" ht="38.25" hidden="1" customHeight="1">
      <c r="A39" s="62" t="s">
        <v>22</v>
      </c>
      <c r="B39" s="27"/>
      <c r="C39" s="108" t="s">
        <v>87</v>
      </c>
      <c r="D39" s="168" t="e">
        <f>#REF!</f>
        <v>#REF!</v>
      </c>
      <c r="E39" s="168" t="e">
        <f>#REF!</f>
        <v>#REF!</v>
      </c>
      <c r="F39" s="168" t="e">
        <f>#REF!</f>
        <v>#REF!</v>
      </c>
      <c r="G39" s="150" t="e">
        <f>#REF!</f>
        <v>#REF!</v>
      </c>
      <c r="H39" s="150" t="e">
        <f>#REF!</f>
        <v>#REF!</v>
      </c>
      <c r="I39" s="152" t="e">
        <f t="shared" si="6"/>
        <v>#REF!</v>
      </c>
      <c r="J39" s="152" t="e">
        <f t="shared" si="7"/>
        <v>#REF!</v>
      </c>
      <c r="K39" s="152" t="e">
        <f t="shared" si="8"/>
        <v>#REF!</v>
      </c>
    </row>
    <row r="40" spans="1:11" ht="12.75" hidden="1" customHeight="1">
      <c r="A40" s="64" t="s">
        <v>97</v>
      </c>
      <c r="B40" s="27"/>
      <c r="C40" s="108" t="s">
        <v>88</v>
      </c>
      <c r="D40" s="168">
        <f t="shared" ref="D40:H41" si="21">D18+D25+D32</f>
        <v>108705</v>
      </c>
      <c r="E40" s="168">
        <f t="shared" si="21"/>
        <v>108705</v>
      </c>
      <c r="F40" s="168">
        <f t="shared" ref="F40" si="22">F18+F25+F32</f>
        <v>81528.7</v>
      </c>
      <c r="G40" s="150">
        <f t="shared" si="21"/>
        <v>0</v>
      </c>
      <c r="H40" s="150">
        <f t="shared" si="21"/>
        <v>0</v>
      </c>
      <c r="I40" s="152">
        <f t="shared" si="6"/>
        <v>81528.7</v>
      </c>
      <c r="J40" s="152">
        <f t="shared" si="7"/>
        <v>27176.300000000003</v>
      </c>
      <c r="K40" s="152">
        <f t="shared" si="8"/>
        <v>27176.300000000003</v>
      </c>
    </row>
    <row r="41" spans="1:11" ht="14.25" hidden="1" customHeight="1">
      <c r="A41" s="64" t="s">
        <v>98</v>
      </c>
      <c r="B41" s="27"/>
      <c r="C41" s="108" t="s">
        <v>89</v>
      </c>
      <c r="D41" s="168">
        <f t="shared" si="21"/>
        <v>40520</v>
      </c>
      <c r="E41" s="168">
        <f t="shared" si="21"/>
        <v>40520</v>
      </c>
      <c r="F41" s="168">
        <f t="shared" ref="F41" si="23">F19+F26+F33</f>
        <v>30389</v>
      </c>
      <c r="G41" s="150">
        <f t="shared" si="21"/>
        <v>0</v>
      </c>
      <c r="H41" s="150">
        <f t="shared" si="21"/>
        <v>0</v>
      </c>
      <c r="I41" s="152">
        <f t="shared" si="6"/>
        <v>30389</v>
      </c>
      <c r="J41" s="152">
        <f t="shared" si="7"/>
        <v>10131</v>
      </c>
      <c r="K41" s="152">
        <f t="shared" si="8"/>
        <v>10131</v>
      </c>
    </row>
    <row r="42" spans="1:11" s="66" customFormat="1" ht="13.5" hidden="1" customHeight="1">
      <c r="A42" s="67" t="s">
        <v>77</v>
      </c>
      <c r="B42" s="65"/>
      <c r="C42" s="110"/>
      <c r="D42" s="170">
        <f>SUM(D40:D41)</f>
        <v>149225</v>
      </c>
      <c r="E42" s="170">
        <f t="shared" ref="E42:H42" si="24">SUM(E40:E41)</f>
        <v>149225</v>
      </c>
      <c r="F42" s="170">
        <f t="shared" ref="F42" si="25">SUM(F40:F41)</f>
        <v>111917.7</v>
      </c>
      <c r="G42" s="151">
        <f t="shared" si="24"/>
        <v>0</v>
      </c>
      <c r="H42" s="151">
        <f t="shared" si="24"/>
        <v>0</v>
      </c>
      <c r="I42" s="152">
        <f t="shared" si="6"/>
        <v>111917.7</v>
      </c>
      <c r="J42" s="152">
        <f t="shared" si="7"/>
        <v>37307.300000000003</v>
      </c>
      <c r="K42" s="152">
        <f t="shared" si="8"/>
        <v>37307.300000000003</v>
      </c>
    </row>
    <row r="43" spans="1:11" s="55" customFormat="1" ht="12.75" hidden="1" customHeight="1">
      <c r="A43" s="70" t="s">
        <v>94</v>
      </c>
      <c r="B43" s="54"/>
      <c r="C43" s="109"/>
      <c r="D43" s="171" t="e">
        <f>D38+D42+D39</f>
        <v>#REF!</v>
      </c>
      <c r="E43" s="171" t="e">
        <f t="shared" ref="E43:H43" si="26">E38+E42+E39</f>
        <v>#REF!</v>
      </c>
      <c r="F43" s="171" t="e">
        <f t="shared" ref="F43" si="27">F38+F42+F39</f>
        <v>#REF!</v>
      </c>
      <c r="G43" s="152" t="e">
        <f t="shared" si="26"/>
        <v>#REF!</v>
      </c>
      <c r="H43" s="152" t="e">
        <f t="shared" si="26"/>
        <v>#REF!</v>
      </c>
      <c r="I43" s="152" t="e">
        <f t="shared" si="6"/>
        <v>#REF!</v>
      </c>
      <c r="J43" s="152" t="e">
        <f t="shared" si="7"/>
        <v>#REF!</v>
      </c>
      <c r="K43" s="152" t="e">
        <f t="shared" si="8"/>
        <v>#REF!</v>
      </c>
    </row>
    <row r="44" spans="1:11" s="55" customFormat="1" ht="25.5">
      <c r="A44" s="48" t="s">
        <v>137</v>
      </c>
      <c r="B44" s="54"/>
      <c r="C44" s="116" t="s">
        <v>358</v>
      </c>
      <c r="D44" s="171">
        <f>D47+D53+D56</f>
        <v>2184771</v>
      </c>
      <c r="E44" s="171">
        <f t="shared" ref="E44:H44" si="28">E47+E53+E56</f>
        <v>2184771</v>
      </c>
      <c r="F44" s="171">
        <f t="shared" ref="F44" si="29">F47+F53+F56</f>
        <v>1495030.4300000002</v>
      </c>
      <c r="G44" s="152">
        <f t="shared" si="28"/>
        <v>0</v>
      </c>
      <c r="H44" s="152">
        <f t="shared" si="28"/>
        <v>0</v>
      </c>
      <c r="I44" s="152">
        <f t="shared" si="6"/>
        <v>1495030.4300000002</v>
      </c>
      <c r="J44" s="152">
        <f t="shared" si="7"/>
        <v>689740.56999999983</v>
      </c>
      <c r="K44" s="152">
        <f t="shared" si="8"/>
        <v>689740.56999999983</v>
      </c>
    </row>
    <row r="45" spans="1:11">
      <c r="A45" s="62" t="s">
        <v>480</v>
      </c>
      <c r="B45" s="27"/>
      <c r="C45" s="108" t="s">
        <v>359</v>
      </c>
      <c r="D45" s="168">
        <v>804513</v>
      </c>
      <c r="E45" s="168">
        <f>D45</f>
        <v>804513</v>
      </c>
      <c r="F45" s="168">
        <v>538661.77</v>
      </c>
      <c r="G45" s="150">
        <v>0</v>
      </c>
      <c r="H45" s="150">
        <v>0</v>
      </c>
      <c r="I45" s="150">
        <f t="shared" si="6"/>
        <v>538661.77</v>
      </c>
      <c r="J45" s="150">
        <f t="shared" si="7"/>
        <v>265851.23</v>
      </c>
      <c r="K45" s="150">
        <f t="shared" si="8"/>
        <v>265851.23</v>
      </c>
    </row>
    <row r="46" spans="1:11">
      <c r="A46" s="62" t="s">
        <v>481</v>
      </c>
      <c r="B46" s="27"/>
      <c r="C46" s="108" t="s">
        <v>360</v>
      </c>
      <c r="D46" s="168">
        <v>800642</v>
      </c>
      <c r="E46" s="168">
        <f>D46</f>
        <v>800642</v>
      </c>
      <c r="F46" s="168">
        <v>583674.43000000005</v>
      </c>
      <c r="G46" s="150">
        <v>0</v>
      </c>
      <c r="H46" s="150">
        <v>0</v>
      </c>
      <c r="I46" s="150">
        <f t="shared" si="6"/>
        <v>583674.43000000005</v>
      </c>
      <c r="J46" s="150">
        <f t="shared" si="7"/>
        <v>216967.56999999995</v>
      </c>
      <c r="K46" s="150">
        <f t="shared" si="8"/>
        <v>216967.56999999995</v>
      </c>
    </row>
    <row r="47" spans="1:11" s="66" customFormat="1" ht="17.25">
      <c r="A47" s="67" t="s">
        <v>78</v>
      </c>
      <c r="B47" s="65"/>
      <c r="C47" s="110"/>
      <c r="D47" s="170">
        <f t="shared" ref="D47:H47" si="30">SUM(D45:D46)</f>
        <v>1605155</v>
      </c>
      <c r="E47" s="170">
        <f t="shared" si="30"/>
        <v>1605155</v>
      </c>
      <c r="F47" s="170">
        <f t="shared" ref="F47" si="31">SUM(F45:F46)</f>
        <v>1122336.2000000002</v>
      </c>
      <c r="G47" s="151">
        <f t="shared" si="30"/>
        <v>0</v>
      </c>
      <c r="H47" s="151">
        <f t="shared" si="30"/>
        <v>0</v>
      </c>
      <c r="I47" s="151">
        <f t="shared" si="6"/>
        <v>1122336.2000000002</v>
      </c>
      <c r="J47" s="151">
        <f t="shared" si="7"/>
        <v>482818.79999999981</v>
      </c>
      <c r="K47" s="151">
        <f t="shared" si="8"/>
        <v>482818.79999999981</v>
      </c>
    </row>
    <row r="48" spans="1:11" ht="46.5" customHeight="1">
      <c r="A48" s="62" t="s">
        <v>22</v>
      </c>
      <c r="B48" s="27"/>
      <c r="C48" s="108" t="s">
        <v>361</v>
      </c>
      <c r="D48" s="168">
        <f>70870-3274-20000</f>
        <v>47596</v>
      </c>
      <c r="E48" s="168">
        <f>D48</f>
        <v>47596</v>
      </c>
      <c r="F48" s="168">
        <v>0</v>
      </c>
      <c r="G48" s="150">
        <v>0</v>
      </c>
      <c r="H48" s="150">
        <v>0</v>
      </c>
      <c r="I48" s="150">
        <f t="shared" si="6"/>
        <v>0</v>
      </c>
      <c r="J48" s="150">
        <f t="shared" si="7"/>
        <v>47596</v>
      </c>
      <c r="K48" s="150">
        <f t="shared" si="8"/>
        <v>47596</v>
      </c>
    </row>
    <row r="49" spans="1:11" ht="41.25" customHeight="1">
      <c r="A49" s="62" t="s">
        <v>23</v>
      </c>
      <c r="B49" s="27"/>
      <c r="C49" s="108" t="s">
        <v>362</v>
      </c>
      <c r="D49" s="168">
        <v>18000</v>
      </c>
      <c r="E49" s="168">
        <f t="shared" ref="E49:E55" si="32">D49</f>
        <v>18000</v>
      </c>
      <c r="F49" s="168">
        <v>4500</v>
      </c>
      <c r="G49" s="150">
        <v>0</v>
      </c>
      <c r="H49" s="150">
        <v>0</v>
      </c>
      <c r="I49" s="150">
        <f t="shared" si="6"/>
        <v>4500</v>
      </c>
      <c r="J49" s="150">
        <f t="shared" si="7"/>
        <v>13500</v>
      </c>
      <c r="K49" s="150">
        <f t="shared" si="8"/>
        <v>13500</v>
      </c>
    </row>
    <row r="50" spans="1:11">
      <c r="A50" s="62" t="s">
        <v>16</v>
      </c>
      <c r="B50" s="27"/>
      <c r="C50" s="108" t="s">
        <v>522</v>
      </c>
      <c r="D50" s="168">
        <v>3274</v>
      </c>
      <c r="E50" s="168">
        <v>3274</v>
      </c>
      <c r="F50" s="168">
        <v>3274</v>
      </c>
      <c r="G50" s="150">
        <v>0</v>
      </c>
      <c r="H50" s="150">
        <v>0</v>
      </c>
      <c r="I50" s="150">
        <f t="shared" ref="I50" si="33">F50+G50+H50</f>
        <v>3274</v>
      </c>
      <c r="J50" s="150">
        <f t="shared" ref="J50" si="34">D50-I50</f>
        <v>0</v>
      </c>
      <c r="K50" s="150">
        <f t="shared" ref="K50" si="35">E50-I50</f>
        <v>0</v>
      </c>
    </row>
    <row r="51" spans="1:11">
      <c r="A51" s="62" t="s">
        <v>13</v>
      </c>
      <c r="B51" s="27"/>
      <c r="C51" s="108" t="s">
        <v>381</v>
      </c>
      <c r="D51" s="168">
        <v>14988</v>
      </c>
      <c r="E51" s="168">
        <f t="shared" si="32"/>
        <v>14988</v>
      </c>
      <c r="F51" s="168">
        <v>9115.2000000000007</v>
      </c>
      <c r="G51" s="150">
        <v>0</v>
      </c>
      <c r="H51" s="150">
        <v>0</v>
      </c>
      <c r="I51" s="150">
        <f t="shared" si="6"/>
        <v>9115.2000000000007</v>
      </c>
      <c r="J51" s="150">
        <f t="shared" si="7"/>
        <v>5872.7999999999993</v>
      </c>
      <c r="K51" s="150">
        <f t="shared" si="8"/>
        <v>5872.7999999999993</v>
      </c>
    </row>
    <row r="52" spans="1:11">
      <c r="A52" s="62" t="s">
        <v>16</v>
      </c>
      <c r="B52" s="27"/>
      <c r="C52" s="108" t="s">
        <v>382</v>
      </c>
      <c r="D52" s="168">
        <v>11000</v>
      </c>
      <c r="E52" s="168">
        <f t="shared" si="32"/>
        <v>11000</v>
      </c>
      <c r="F52" s="168">
        <v>1875</v>
      </c>
      <c r="G52" s="150">
        <v>0</v>
      </c>
      <c r="H52" s="150">
        <v>0</v>
      </c>
      <c r="I52" s="150">
        <f t="shared" si="6"/>
        <v>1875</v>
      </c>
      <c r="J52" s="150">
        <f t="shared" si="7"/>
        <v>9125</v>
      </c>
      <c r="K52" s="150">
        <f t="shared" si="8"/>
        <v>9125</v>
      </c>
    </row>
    <row r="53" spans="1:11" s="66" customFormat="1" ht="17.25">
      <c r="A53" s="67" t="s">
        <v>139</v>
      </c>
      <c r="B53" s="65"/>
      <c r="C53" s="110"/>
      <c r="D53" s="170">
        <f>SUM(D48:D52)</f>
        <v>94858</v>
      </c>
      <c r="E53" s="170">
        <f t="shared" ref="E53:H53" si="36">SUM(E48:E52)</f>
        <v>94858</v>
      </c>
      <c r="F53" s="170">
        <f t="shared" ref="F53" si="37">SUM(F48:F52)</f>
        <v>18764.2</v>
      </c>
      <c r="G53" s="151">
        <f t="shared" si="36"/>
        <v>0</v>
      </c>
      <c r="H53" s="151">
        <f t="shared" si="36"/>
        <v>0</v>
      </c>
      <c r="I53" s="150">
        <f t="shared" si="6"/>
        <v>18764.2</v>
      </c>
      <c r="J53" s="150">
        <f t="shared" si="7"/>
        <v>76093.8</v>
      </c>
      <c r="K53" s="150">
        <f t="shared" si="8"/>
        <v>76093.8</v>
      </c>
    </row>
    <row r="54" spans="1:11" ht="21" customHeight="1">
      <c r="A54" s="71" t="s">
        <v>97</v>
      </c>
      <c r="B54" s="27"/>
      <c r="C54" s="108" t="s">
        <v>379</v>
      </c>
      <c r="D54" s="168">
        <v>353134</v>
      </c>
      <c r="E54" s="168">
        <f t="shared" si="32"/>
        <v>353134</v>
      </c>
      <c r="F54" s="168">
        <v>257101.59</v>
      </c>
      <c r="G54" s="150">
        <v>0</v>
      </c>
      <c r="H54" s="150">
        <v>0</v>
      </c>
      <c r="I54" s="150">
        <f t="shared" si="6"/>
        <v>257101.59</v>
      </c>
      <c r="J54" s="150">
        <f t="shared" si="7"/>
        <v>96032.41</v>
      </c>
      <c r="K54" s="150">
        <f t="shared" si="8"/>
        <v>96032.41</v>
      </c>
    </row>
    <row r="55" spans="1:11" ht="15" customHeight="1">
      <c r="A55" s="71" t="s">
        <v>98</v>
      </c>
      <c r="B55" s="27"/>
      <c r="C55" s="108" t="s">
        <v>380</v>
      </c>
      <c r="D55" s="168">
        <v>131624</v>
      </c>
      <c r="E55" s="168">
        <f t="shared" si="32"/>
        <v>131624</v>
      </c>
      <c r="F55" s="168">
        <v>96828.44</v>
      </c>
      <c r="G55" s="150">
        <v>0</v>
      </c>
      <c r="H55" s="150">
        <v>0</v>
      </c>
      <c r="I55" s="150">
        <f t="shared" si="6"/>
        <v>96828.44</v>
      </c>
      <c r="J55" s="150">
        <f t="shared" si="7"/>
        <v>34795.56</v>
      </c>
      <c r="K55" s="150">
        <f t="shared" si="8"/>
        <v>34795.56</v>
      </c>
    </row>
    <row r="56" spans="1:11" s="66" customFormat="1" ht="17.25" customHeight="1">
      <c r="A56" s="48" t="s">
        <v>138</v>
      </c>
      <c r="B56" s="65"/>
      <c r="C56" s="110"/>
      <c r="D56" s="170">
        <f t="shared" ref="D56:H56" si="38">SUM(D54:D55)</f>
        <v>484758</v>
      </c>
      <c r="E56" s="170">
        <f t="shared" si="38"/>
        <v>484758</v>
      </c>
      <c r="F56" s="170">
        <f t="shared" ref="F56" si="39">SUM(F54:F55)</f>
        <v>353930.03</v>
      </c>
      <c r="G56" s="151">
        <f t="shared" si="38"/>
        <v>0</v>
      </c>
      <c r="H56" s="151">
        <f t="shared" si="38"/>
        <v>0</v>
      </c>
      <c r="I56" s="151">
        <f t="shared" si="6"/>
        <v>353930.03</v>
      </c>
      <c r="J56" s="151">
        <f t="shared" si="7"/>
        <v>130827.96999999997</v>
      </c>
      <c r="K56" s="151">
        <f t="shared" si="8"/>
        <v>130827.96999999997</v>
      </c>
    </row>
    <row r="57" spans="1:11" s="66" customFormat="1" ht="17.25">
      <c r="A57" s="48"/>
      <c r="B57" s="65"/>
      <c r="C57" s="117"/>
      <c r="D57" s="170"/>
      <c r="E57" s="170"/>
      <c r="F57" s="170"/>
      <c r="G57" s="151"/>
      <c r="H57" s="151"/>
      <c r="I57" s="150"/>
      <c r="J57" s="150"/>
      <c r="K57" s="150"/>
    </row>
    <row r="58" spans="1:11">
      <c r="A58" s="48" t="s">
        <v>131</v>
      </c>
      <c r="B58" s="27"/>
      <c r="C58" s="117" t="s">
        <v>141</v>
      </c>
      <c r="D58" s="168">
        <f>D59+D60+D64+D65+D66</f>
        <v>1690071.36</v>
      </c>
      <c r="E58" s="168">
        <f>E59+E60+E64+E65+E66</f>
        <v>1690071.36</v>
      </c>
      <c r="F58" s="168">
        <f t="shared" ref="F58" si="40">F59+F60+F64+F65+F66</f>
        <v>738829.81</v>
      </c>
      <c r="G58" s="150">
        <f t="shared" ref="G58:H58" si="41">G59+G60+G64+G65+G66</f>
        <v>0</v>
      </c>
      <c r="H58" s="150">
        <f t="shared" si="41"/>
        <v>0</v>
      </c>
      <c r="I58" s="150">
        <f t="shared" si="6"/>
        <v>738829.81</v>
      </c>
      <c r="J58" s="150">
        <f t="shared" si="7"/>
        <v>951241.55</v>
      </c>
      <c r="K58" s="150">
        <f t="shared" si="8"/>
        <v>951241.55</v>
      </c>
    </row>
    <row r="59" spans="1:11">
      <c r="A59" s="62" t="s">
        <v>12</v>
      </c>
      <c r="B59" s="27"/>
      <c r="C59" s="108" t="s">
        <v>363</v>
      </c>
      <c r="D59" s="168">
        <f>33727+4270.26</f>
        <v>37997.26</v>
      </c>
      <c r="E59" s="168">
        <f t="shared" ref="E59:E74" si="42">D59</f>
        <v>37997.26</v>
      </c>
      <c r="F59" s="168">
        <v>21042.799999999999</v>
      </c>
      <c r="G59" s="150">
        <v>0</v>
      </c>
      <c r="H59" s="150">
        <v>0</v>
      </c>
      <c r="I59" s="150">
        <f t="shared" si="6"/>
        <v>21042.799999999999</v>
      </c>
      <c r="J59" s="150">
        <f t="shared" si="7"/>
        <v>16954.460000000003</v>
      </c>
      <c r="K59" s="150">
        <f t="shared" si="8"/>
        <v>16954.460000000003</v>
      </c>
    </row>
    <row r="60" spans="1:11" hidden="1">
      <c r="A60" s="62" t="s">
        <v>13</v>
      </c>
      <c r="B60" s="27"/>
      <c r="C60" s="108" t="s">
        <v>364</v>
      </c>
      <c r="D60" s="168"/>
      <c r="E60" s="168"/>
      <c r="F60" s="168">
        <v>0</v>
      </c>
      <c r="G60" s="150">
        <v>0</v>
      </c>
      <c r="H60" s="150">
        <v>0</v>
      </c>
      <c r="I60" s="150">
        <f t="shared" si="6"/>
        <v>0</v>
      </c>
      <c r="J60" s="150">
        <f t="shared" si="7"/>
        <v>0</v>
      </c>
      <c r="K60" s="150">
        <f t="shared" si="8"/>
        <v>0</v>
      </c>
    </row>
    <row r="61" spans="1:11" ht="18" customHeight="1">
      <c r="A61" s="62" t="s">
        <v>27</v>
      </c>
      <c r="B61" s="27"/>
      <c r="C61" s="108" t="s">
        <v>365</v>
      </c>
      <c r="D61" s="168">
        <f>1173868+143347</f>
        <v>1317215</v>
      </c>
      <c r="E61" s="168">
        <f t="shared" si="42"/>
        <v>1317215</v>
      </c>
      <c r="F61" s="168">
        <v>530657.6</v>
      </c>
      <c r="G61" s="150">
        <v>0</v>
      </c>
      <c r="H61" s="150">
        <v>0</v>
      </c>
      <c r="I61" s="150">
        <f t="shared" si="6"/>
        <v>530657.6</v>
      </c>
      <c r="J61" s="150">
        <f t="shared" si="7"/>
        <v>786557.4</v>
      </c>
      <c r="K61" s="150">
        <f t="shared" si="8"/>
        <v>786557.4</v>
      </c>
    </row>
    <row r="62" spans="1:11">
      <c r="A62" s="62" t="s">
        <v>24</v>
      </c>
      <c r="B62" s="27"/>
      <c r="C62" s="108" t="s">
        <v>366</v>
      </c>
      <c r="D62" s="168">
        <v>80500</v>
      </c>
      <c r="E62" s="168">
        <f t="shared" si="42"/>
        <v>80500</v>
      </c>
      <c r="F62" s="168">
        <v>29620.880000000001</v>
      </c>
      <c r="G62" s="150">
        <v>0</v>
      </c>
      <c r="H62" s="150">
        <v>0</v>
      </c>
      <c r="I62" s="150">
        <f t="shared" si="6"/>
        <v>29620.880000000001</v>
      </c>
      <c r="J62" s="150">
        <f t="shared" si="7"/>
        <v>50879.119999999995</v>
      </c>
      <c r="K62" s="150">
        <f t="shared" si="8"/>
        <v>50879.119999999995</v>
      </c>
    </row>
    <row r="63" spans="1:11" ht="18" customHeight="1">
      <c r="A63" s="62" t="s">
        <v>25</v>
      </c>
      <c r="B63" s="27"/>
      <c r="C63" s="108" t="s">
        <v>367</v>
      </c>
      <c r="D63" s="168">
        <f>15510+2046.1</f>
        <v>17556.099999999999</v>
      </c>
      <c r="E63" s="168">
        <f t="shared" si="42"/>
        <v>17556.099999999999</v>
      </c>
      <c r="F63" s="168">
        <v>8049.09</v>
      </c>
      <c r="G63" s="150">
        <v>0</v>
      </c>
      <c r="H63" s="150">
        <v>0</v>
      </c>
      <c r="I63" s="150">
        <f t="shared" si="6"/>
        <v>8049.09</v>
      </c>
      <c r="J63" s="150">
        <f t="shared" si="7"/>
        <v>9507.0099999999984</v>
      </c>
      <c r="K63" s="150">
        <f t="shared" si="8"/>
        <v>9507.0099999999984</v>
      </c>
    </row>
    <row r="64" spans="1:11" s="66" customFormat="1" ht="17.25" customHeight="1">
      <c r="A64" s="78" t="s">
        <v>14</v>
      </c>
      <c r="B64" s="65"/>
      <c r="C64" s="110"/>
      <c r="D64" s="170">
        <f>SUM(D61:D63)</f>
        <v>1415271.1</v>
      </c>
      <c r="E64" s="170">
        <f t="shared" ref="E64:H64" si="43">SUM(E61:E63)</f>
        <v>1415271.1</v>
      </c>
      <c r="F64" s="170">
        <f t="shared" ref="F64" si="44">SUM(F61:F63)</f>
        <v>568327.56999999995</v>
      </c>
      <c r="G64" s="151">
        <f t="shared" si="43"/>
        <v>0</v>
      </c>
      <c r="H64" s="151">
        <f t="shared" si="43"/>
        <v>0</v>
      </c>
      <c r="I64" s="152">
        <f t="shared" si="6"/>
        <v>568327.56999999995</v>
      </c>
      <c r="J64" s="152">
        <f t="shared" si="7"/>
        <v>846943.53000000014</v>
      </c>
      <c r="K64" s="152">
        <f t="shared" si="8"/>
        <v>846943.53000000014</v>
      </c>
    </row>
    <row r="65" spans="1:11">
      <c r="A65" s="62" t="s">
        <v>15</v>
      </c>
      <c r="B65" s="27"/>
      <c r="C65" s="108" t="s">
        <v>368</v>
      </c>
      <c r="D65" s="168">
        <f>67450+31800</f>
        <v>99250</v>
      </c>
      <c r="E65" s="168">
        <f t="shared" si="42"/>
        <v>99250</v>
      </c>
      <c r="F65" s="168">
        <v>61840.68</v>
      </c>
      <c r="G65" s="150">
        <v>0</v>
      </c>
      <c r="H65" s="150">
        <v>0</v>
      </c>
      <c r="I65" s="150">
        <f t="shared" si="6"/>
        <v>61840.68</v>
      </c>
      <c r="J65" s="150">
        <f t="shared" si="7"/>
        <v>37409.32</v>
      </c>
      <c r="K65" s="150">
        <f t="shared" si="8"/>
        <v>37409.32</v>
      </c>
    </row>
    <row r="66" spans="1:11">
      <c r="A66" s="62" t="s">
        <v>16</v>
      </c>
      <c r="B66" s="27"/>
      <c r="C66" s="108" t="s">
        <v>369</v>
      </c>
      <c r="D66" s="168">
        <f>40000+77553+20000</f>
        <v>137553</v>
      </c>
      <c r="E66" s="168">
        <f t="shared" si="42"/>
        <v>137553</v>
      </c>
      <c r="F66" s="168">
        <v>87618.76</v>
      </c>
      <c r="G66" s="150">
        <v>0</v>
      </c>
      <c r="H66" s="150">
        <v>0</v>
      </c>
      <c r="I66" s="150">
        <f t="shared" si="6"/>
        <v>87618.76</v>
      </c>
      <c r="J66" s="150">
        <f t="shared" si="7"/>
        <v>49934.240000000005</v>
      </c>
      <c r="K66" s="150">
        <f t="shared" si="8"/>
        <v>49934.240000000005</v>
      </c>
    </row>
    <row r="67" spans="1:11">
      <c r="A67" s="62" t="s">
        <v>17</v>
      </c>
      <c r="B67" s="27"/>
      <c r="C67" s="108" t="s">
        <v>370</v>
      </c>
      <c r="D67" s="168">
        <f>2100+5000-212.5</f>
        <v>6887.5</v>
      </c>
      <c r="E67" s="168">
        <f t="shared" si="42"/>
        <v>6887.5</v>
      </c>
      <c r="F67" s="168">
        <v>2100</v>
      </c>
      <c r="G67" s="150">
        <v>0</v>
      </c>
      <c r="H67" s="150">
        <v>0</v>
      </c>
      <c r="I67" s="150">
        <f t="shared" si="6"/>
        <v>2100</v>
      </c>
      <c r="J67" s="150">
        <f t="shared" si="7"/>
        <v>4787.5</v>
      </c>
      <c r="K67" s="150">
        <f t="shared" si="8"/>
        <v>4787.5</v>
      </c>
    </row>
    <row r="68" spans="1:11" ht="12.75" hidden="1" customHeight="1">
      <c r="A68" s="62"/>
      <c r="B68" s="27"/>
      <c r="C68" s="108"/>
      <c r="D68" s="168"/>
      <c r="E68" s="168">
        <f t="shared" si="42"/>
        <v>0</v>
      </c>
      <c r="F68" s="168">
        <v>0</v>
      </c>
      <c r="G68" s="150">
        <v>0</v>
      </c>
      <c r="H68" s="150">
        <v>0</v>
      </c>
      <c r="I68" s="150">
        <f t="shared" si="6"/>
        <v>0</v>
      </c>
      <c r="J68" s="150">
        <f t="shared" si="7"/>
        <v>0</v>
      </c>
      <c r="K68" s="150">
        <f t="shared" si="8"/>
        <v>0</v>
      </c>
    </row>
    <row r="69" spans="1:11" hidden="1">
      <c r="A69" s="62" t="s">
        <v>18</v>
      </c>
      <c r="B69" s="27"/>
      <c r="C69" s="108" t="s">
        <v>371</v>
      </c>
      <c r="D69" s="168"/>
      <c r="E69" s="168">
        <f t="shared" si="42"/>
        <v>0</v>
      </c>
      <c r="F69" s="168">
        <v>0</v>
      </c>
      <c r="G69" s="150">
        <v>0</v>
      </c>
      <c r="H69" s="150">
        <v>0</v>
      </c>
      <c r="I69" s="150">
        <f t="shared" si="6"/>
        <v>0</v>
      </c>
      <c r="J69" s="150">
        <f t="shared" si="7"/>
        <v>0</v>
      </c>
      <c r="K69" s="150">
        <f t="shared" si="8"/>
        <v>0</v>
      </c>
    </row>
    <row r="70" spans="1:11" ht="25.5">
      <c r="A70" s="62" t="s">
        <v>26</v>
      </c>
      <c r="B70" s="27"/>
      <c r="C70" s="108" t="s">
        <v>372</v>
      </c>
      <c r="D70" s="168">
        <f>2950+157987</f>
        <v>160937</v>
      </c>
      <c r="E70" s="168">
        <f t="shared" si="42"/>
        <v>160937</v>
      </c>
      <c r="F70" s="168">
        <v>88524.29</v>
      </c>
      <c r="G70" s="150">
        <v>0</v>
      </c>
      <c r="H70" s="150">
        <v>0</v>
      </c>
      <c r="I70" s="150">
        <f t="shared" si="6"/>
        <v>88524.29</v>
      </c>
      <c r="J70" s="150">
        <f t="shared" si="7"/>
        <v>72412.710000000006</v>
      </c>
      <c r="K70" s="150">
        <f t="shared" si="8"/>
        <v>72412.710000000006</v>
      </c>
    </row>
    <row r="71" spans="1:11" ht="36.75" customHeight="1">
      <c r="A71" s="64" t="s">
        <v>504</v>
      </c>
      <c r="B71" s="27"/>
      <c r="C71" s="108" t="s">
        <v>373</v>
      </c>
      <c r="D71" s="168">
        <f>66574+48291.39</f>
        <v>114865.39</v>
      </c>
      <c r="E71" s="168">
        <f t="shared" si="42"/>
        <v>114865.39</v>
      </c>
      <c r="F71" s="168">
        <v>52680</v>
      </c>
      <c r="G71" s="150">
        <v>0</v>
      </c>
      <c r="H71" s="150">
        <v>0</v>
      </c>
      <c r="I71" s="150">
        <f t="shared" si="6"/>
        <v>52680</v>
      </c>
      <c r="J71" s="150">
        <f t="shared" si="7"/>
        <v>62185.39</v>
      </c>
      <c r="K71" s="150">
        <f t="shared" si="8"/>
        <v>62185.39</v>
      </c>
    </row>
    <row r="72" spans="1:11" s="66" customFormat="1" ht="15.75" customHeight="1">
      <c r="A72" s="81" t="s">
        <v>136</v>
      </c>
      <c r="B72" s="65"/>
      <c r="C72" s="110"/>
      <c r="D72" s="170">
        <f>SUM(D70:D71)</f>
        <v>275802.39</v>
      </c>
      <c r="E72" s="170">
        <f t="shared" ref="E72:H72" si="45">SUM(E70:E71)</f>
        <v>275802.39</v>
      </c>
      <c r="F72" s="170">
        <f t="shared" ref="F72" si="46">SUM(F70:F71)</f>
        <v>141204.28999999998</v>
      </c>
      <c r="G72" s="151">
        <f t="shared" si="45"/>
        <v>0</v>
      </c>
      <c r="H72" s="151">
        <f t="shared" si="45"/>
        <v>0</v>
      </c>
      <c r="I72" s="151">
        <f t="shared" si="6"/>
        <v>141204.28999999998</v>
      </c>
      <c r="J72" s="151">
        <f t="shared" si="7"/>
        <v>134598.10000000003</v>
      </c>
      <c r="K72" s="151">
        <f t="shared" si="8"/>
        <v>134598.10000000003</v>
      </c>
    </row>
    <row r="73" spans="1:11">
      <c r="A73" s="62" t="s">
        <v>17</v>
      </c>
      <c r="B73" s="27"/>
      <c r="C73" s="108" t="s">
        <v>374</v>
      </c>
      <c r="D73" s="168">
        <f>1705.43+5000</f>
        <v>6705.43</v>
      </c>
      <c r="E73" s="168">
        <f t="shared" si="42"/>
        <v>6705.43</v>
      </c>
      <c r="F73" s="168">
        <v>1705.43</v>
      </c>
      <c r="G73" s="150">
        <v>0</v>
      </c>
      <c r="H73" s="150">
        <v>0</v>
      </c>
      <c r="I73" s="150">
        <f t="shared" ref="I73" si="47">F73+G73+H73</f>
        <v>1705.43</v>
      </c>
      <c r="J73" s="150">
        <f t="shared" ref="J73" si="48">D73-I73</f>
        <v>5000</v>
      </c>
      <c r="K73" s="150">
        <f t="shared" ref="K73" si="49">E73-I73</f>
        <v>5000</v>
      </c>
    </row>
    <row r="74" spans="1:11">
      <c r="A74" s="62" t="s">
        <v>17</v>
      </c>
      <c r="B74" s="27"/>
      <c r="C74" s="108" t="s">
        <v>486</v>
      </c>
      <c r="D74" s="168">
        <v>212.5</v>
      </c>
      <c r="E74" s="168">
        <f t="shared" si="42"/>
        <v>212.5</v>
      </c>
      <c r="F74" s="168">
        <v>212.5</v>
      </c>
      <c r="G74" s="150">
        <v>0</v>
      </c>
      <c r="H74" s="150">
        <v>0</v>
      </c>
      <c r="I74" s="150">
        <f t="shared" si="6"/>
        <v>212.5</v>
      </c>
      <c r="J74" s="150">
        <f t="shared" si="7"/>
        <v>0</v>
      </c>
      <c r="K74" s="150">
        <f t="shared" si="8"/>
        <v>0</v>
      </c>
    </row>
    <row r="75" spans="1:11">
      <c r="A75" s="62"/>
      <c r="B75" s="27"/>
      <c r="C75" s="108"/>
      <c r="D75" s="168"/>
      <c r="E75" s="168"/>
      <c r="F75" s="168"/>
      <c r="G75" s="150"/>
      <c r="H75" s="150"/>
      <c r="I75" s="150"/>
      <c r="J75" s="150"/>
      <c r="K75" s="150"/>
    </row>
    <row r="76" spans="1:11" s="26" customFormat="1" ht="17.25">
      <c r="A76" s="99"/>
      <c r="B76" s="25"/>
      <c r="C76" s="110" t="s">
        <v>378</v>
      </c>
      <c r="D76" s="170">
        <f>D77+D80</f>
        <v>191203</v>
      </c>
      <c r="E76" s="170">
        <f t="shared" ref="E76:H76" si="50">E77+E80</f>
        <v>191203</v>
      </c>
      <c r="F76" s="170">
        <f t="shared" ref="F76" si="51">F77+F80</f>
        <v>134011.82</v>
      </c>
      <c r="G76" s="151">
        <f t="shared" si="50"/>
        <v>0</v>
      </c>
      <c r="H76" s="151">
        <f t="shared" si="50"/>
        <v>0</v>
      </c>
      <c r="I76" s="151">
        <f t="shared" si="6"/>
        <v>134011.82</v>
      </c>
      <c r="J76" s="151">
        <f t="shared" si="7"/>
        <v>57191.179999999993</v>
      </c>
      <c r="K76" s="151">
        <f t="shared" si="8"/>
        <v>57191.179999999993</v>
      </c>
    </row>
    <row r="77" spans="1:11">
      <c r="A77" s="62" t="s">
        <v>412</v>
      </c>
      <c r="B77" s="27"/>
      <c r="C77" s="108" t="s">
        <v>375</v>
      </c>
      <c r="D77" s="168">
        <v>146854</v>
      </c>
      <c r="E77" s="168">
        <f t="shared" ref="E77:E79" si="52">D77</f>
        <v>146854</v>
      </c>
      <c r="F77" s="168">
        <v>98538.45</v>
      </c>
      <c r="G77" s="150">
        <v>0</v>
      </c>
      <c r="H77" s="150">
        <v>0</v>
      </c>
      <c r="I77" s="150">
        <f t="shared" si="6"/>
        <v>98538.45</v>
      </c>
      <c r="J77" s="150">
        <f t="shared" si="7"/>
        <v>48315.55</v>
      </c>
      <c r="K77" s="150">
        <f t="shared" si="8"/>
        <v>48315.55</v>
      </c>
    </row>
    <row r="78" spans="1:11" ht="25.5">
      <c r="A78" s="71" t="s">
        <v>97</v>
      </c>
      <c r="B78" s="27"/>
      <c r="C78" s="108" t="s">
        <v>376</v>
      </c>
      <c r="D78" s="168">
        <v>32307</v>
      </c>
      <c r="E78" s="168">
        <f t="shared" si="52"/>
        <v>32307</v>
      </c>
      <c r="F78" s="168">
        <v>25841.53</v>
      </c>
      <c r="G78" s="150">
        <v>0</v>
      </c>
      <c r="H78" s="150">
        <v>0</v>
      </c>
      <c r="I78" s="150">
        <f t="shared" si="6"/>
        <v>25841.53</v>
      </c>
      <c r="J78" s="150">
        <f t="shared" si="7"/>
        <v>6465.4700000000012</v>
      </c>
      <c r="K78" s="150">
        <f t="shared" si="8"/>
        <v>6465.4700000000012</v>
      </c>
    </row>
    <row r="79" spans="1:11">
      <c r="A79" s="71" t="s">
        <v>98</v>
      </c>
      <c r="B79" s="27"/>
      <c r="C79" s="108" t="s">
        <v>377</v>
      </c>
      <c r="D79" s="168">
        <v>12042</v>
      </c>
      <c r="E79" s="168">
        <f t="shared" si="52"/>
        <v>12042</v>
      </c>
      <c r="F79" s="168">
        <v>9631.84</v>
      </c>
      <c r="G79" s="150">
        <v>0</v>
      </c>
      <c r="H79" s="150">
        <v>0</v>
      </c>
      <c r="I79" s="150">
        <f t="shared" si="6"/>
        <v>9631.84</v>
      </c>
      <c r="J79" s="150">
        <f t="shared" si="7"/>
        <v>2410.16</v>
      </c>
      <c r="K79" s="150">
        <f t="shared" si="8"/>
        <v>2410.16</v>
      </c>
    </row>
    <row r="80" spans="1:11" s="66" customFormat="1" ht="17.25">
      <c r="A80" s="48" t="s">
        <v>138</v>
      </c>
      <c r="B80" s="65"/>
      <c r="C80" s="110"/>
      <c r="D80" s="170">
        <f t="shared" ref="D80:H80" si="53">SUM(D78:D79)</f>
        <v>44349</v>
      </c>
      <c r="E80" s="170">
        <f t="shared" si="53"/>
        <v>44349</v>
      </c>
      <c r="F80" s="170">
        <f t="shared" ref="F80" si="54">SUM(F78:F79)</f>
        <v>35473.369999999995</v>
      </c>
      <c r="G80" s="151">
        <f t="shared" si="53"/>
        <v>0</v>
      </c>
      <c r="H80" s="151">
        <f t="shared" si="53"/>
        <v>0</v>
      </c>
      <c r="I80" s="151">
        <f t="shared" si="6"/>
        <v>35473.369999999995</v>
      </c>
      <c r="J80" s="151">
        <f t="shared" si="7"/>
        <v>8875.6300000000047</v>
      </c>
      <c r="K80" s="151">
        <f t="shared" si="8"/>
        <v>8875.6300000000047</v>
      </c>
    </row>
    <row r="81" spans="1:12" ht="147" hidden="1" customHeight="1">
      <c r="A81" s="72" t="s">
        <v>276</v>
      </c>
      <c r="B81" s="27"/>
      <c r="C81" s="108"/>
      <c r="D81" s="168">
        <f>D82+D83</f>
        <v>0</v>
      </c>
      <c r="E81" s="168">
        <f>E82+E83</f>
        <v>0</v>
      </c>
      <c r="F81" s="168">
        <v>0</v>
      </c>
      <c r="G81" s="150">
        <f t="shared" ref="G81:H81" si="55">G82+G83</f>
        <v>0</v>
      </c>
      <c r="H81" s="150">
        <f t="shared" si="55"/>
        <v>0</v>
      </c>
      <c r="I81" s="150">
        <f t="shared" si="6"/>
        <v>0</v>
      </c>
      <c r="J81" s="150">
        <f t="shared" si="7"/>
        <v>0</v>
      </c>
      <c r="K81" s="150">
        <f t="shared" si="8"/>
        <v>0</v>
      </c>
    </row>
    <row r="82" spans="1:12" ht="12.75" hidden="1" customHeight="1">
      <c r="A82" s="62" t="s">
        <v>16</v>
      </c>
      <c r="B82" s="27"/>
      <c r="C82" s="108" t="s">
        <v>163</v>
      </c>
      <c r="D82" s="168">
        <v>0</v>
      </c>
      <c r="E82" s="168">
        <v>0</v>
      </c>
      <c r="F82" s="168">
        <v>0</v>
      </c>
      <c r="G82" s="150"/>
      <c r="H82" s="150"/>
      <c r="I82" s="150">
        <f t="shared" si="6"/>
        <v>0</v>
      </c>
      <c r="J82" s="150">
        <f t="shared" si="7"/>
        <v>0</v>
      </c>
      <c r="K82" s="150">
        <f t="shared" si="8"/>
        <v>0</v>
      </c>
    </row>
    <row r="83" spans="1:12" ht="12.75" hidden="1" customHeight="1">
      <c r="A83" s="62" t="s">
        <v>16</v>
      </c>
      <c r="B83" s="27"/>
      <c r="C83" s="108" t="s">
        <v>164</v>
      </c>
      <c r="D83" s="168">
        <v>0</v>
      </c>
      <c r="E83" s="168">
        <v>0</v>
      </c>
      <c r="F83" s="168">
        <v>0</v>
      </c>
      <c r="G83" s="150"/>
      <c r="H83" s="150"/>
      <c r="I83" s="150">
        <f t="shared" ref="I83:I148" si="56">F83+G83+H83</f>
        <v>0</v>
      </c>
      <c r="J83" s="150">
        <f t="shared" ref="J83:J148" si="57">D83-I83</f>
        <v>0</v>
      </c>
      <c r="K83" s="150">
        <f t="shared" ref="K83:K148" si="58">E83-I83</f>
        <v>0</v>
      </c>
    </row>
    <row r="84" spans="1:12" ht="12.75" hidden="1" customHeight="1">
      <c r="A84" s="62" t="s">
        <v>16</v>
      </c>
      <c r="B84" s="27"/>
      <c r="C84" s="108" t="s">
        <v>157</v>
      </c>
      <c r="D84" s="168">
        <f>1000-1000</f>
        <v>0</v>
      </c>
      <c r="E84" s="168">
        <f>1000-1000</f>
        <v>0</v>
      </c>
      <c r="F84" s="168">
        <v>0</v>
      </c>
      <c r="G84" s="150"/>
      <c r="H84" s="150"/>
      <c r="I84" s="150">
        <f t="shared" si="56"/>
        <v>0</v>
      </c>
      <c r="J84" s="150">
        <f t="shared" si="57"/>
        <v>0</v>
      </c>
      <c r="K84" s="150">
        <f t="shared" si="58"/>
        <v>0</v>
      </c>
    </row>
    <row r="85" spans="1:12">
      <c r="A85" s="62"/>
      <c r="B85" s="27"/>
      <c r="C85" s="108"/>
      <c r="D85" s="168"/>
      <c r="E85" s="168"/>
      <c r="F85" s="168"/>
      <c r="G85" s="150"/>
      <c r="H85" s="150"/>
      <c r="I85" s="150"/>
      <c r="J85" s="150"/>
      <c r="K85" s="150"/>
    </row>
    <row r="86" spans="1:12" ht="31.5">
      <c r="A86" s="115" t="s">
        <v>291</v>
      </c>
      <c r="B86" s="27"/>
      <c r="C86" s="133" t="s">
        <v>290</v>
      </c>
      <c r="D86" s="171">
        <f>D87</f>
        <v>5402</v>
      </c>
      <c r="E86" s="171">
        <f>E87</f>
        <v>5402</v>
      </c>
      <c r="F86" s="171">
        <f t="shared" ref="F86:H86" si="59">F87</f>
        <v>5402</v>
      </c>
      <c r="G86" s="152">
        <f t="shared" si="59"/>
        <v>0</v>
      </c>
      <c r="H86" s="152">
        <f t="shared" si="59"/>
        <v>0</v>
      </c>
      <c r="I86" s="152">
        <f t="shared" si="56"/>
        <v>5402</v>
      </c>
      <c r="J86" s="152">
        <f t="shared" si="57"/>
        <v>0</v>
      </c>
      <c r="K86" s="152">
        <f t="shared" si="58"/>
        <v>0</v>
      </c>
    </row>
    <row r="87" spans="1:12" s="55" customFormat="1" ht="25.5">
      <c r="A87" s="62" t="s">
        <v>19</v>
      </c>
      <c r="B87" s="54"/>
      <c r="C87" s="109" t="s">
        <v>394</v>
      </c>
      <c r="D87" s="168">
        <v>5402</v>
      </c>
      <c r="E87" s="168">
        <f t="shared" ref="E87" si="60">D87</f>
        <v>5402</v>
      </c>
      <c r="F87" s="168">
        <v>5402</v>
      </c>
      <c r="G87" s="150">
        <v>0</v>
      </c>
      <c r="H87" s="150">
        <v>0</v>
      </c>
      <c r="I87" s="150">
        <f t="shared" si="56"/>
        <v>5402</v>
      </c>
      <c r="J87" s="150">
        <f t="shared" si="57"/>
        <v>0</v>
      </c>
      <c r="K87" s="150">
        <f t="shared" si="58"/>
        <v>0</v>
      </c>
    </row>
    <row r="88" spans="1:12" s="55" customFormat="1">
      <c r="A88" s="62"/>
      <c r="B88" s="54"/>
      <c r="C88" s="109"/>
      <c r="D88" s="171"/>
      <c r="E88" s="171"/>
      <c r="F88" s="171"/>
      <c r="G88" s="152"/>
      <c r="H88" s="152"/>
      <c r="I88" s="150"/>
      <c r="J88" s="150"/>
      <c r="K88" s="150"/>
    </row>
    <row r="89" spans="1:12">
      <c r="A89" s="62" t="s">
        <v>17</v>
      </c>
      <c r="B89" s="27"/>
      <c r="C89" s="109" t="s">
        <v>395</v>
      </c>
      <c r="D89" s="168">
        <f>64976-20631.8</f>
        <v>44344.2</v>
      </c>
      <c r="E89" s="168">
        <f t="shared" ref="E89" si="61">D89</f>
        <v>44344.2</v>
      </c>
      <c r="F89" s="168">
        <v>0</v>
      </c>
      <c r="G89" s="150">
        <v>0</v>
      </c>
      <c r="H89" s="150">
        <v>0</v>
      </c>
      <c r="I89" s="150">
        <f t="shared" si="56"/>
        <v>0</v>
      </c>
      <c r="J89" s="150">
        <f t="shared" si="57"/>
        <v>44344.2</v>
      </c>
      <c r="K89" s="150">
        <f t="shared" si="58"/>
        <v>44344.2</v>
      </c>
    </row>
    <row r="90" spans="1:12" s="55" customFormat="1">
      <c r="A90" s="68"/>
      <c r="B90" s="54"/>
      <c r="C90" s="109"/>
      <c r="D90" s="171"/>
      <c r="E90" s="171"/>
      <c r="F90" s="171"/>
      <c r="G90" s="152"/>
      <c r="H90" s="152"/>
      <c r="I90" s="150"/>
      <c r="J90" s="150"/>
      <c r="K90" s="150"/>
    </row>
    <row r="91" spans="1:12" s="55" customFormat="1">
      <c r="A91" s="73" t="s">
        <v>144</v>
      </c>
      <c r="B91" s="54"/>
      <c r="C91" s="133" t="s">
        <v>145</v>
      </c>
      <c r="D91" s="171">
        <f>D101</f>
        <v>5000</v>
      </c>
      <c r="E91" s="171">
        <f>E101</f>
        <v>5000</v>
      </c>
      <c r="F91" s="171">
        <f t="shared" ref="F91" si="62">F101</f>
        <v>0</v>
      </c>
      <c r="G91" s="152">
        <f t="shared" ref="G91:H91" si="63">G101</f>
        <v>0</v>
      </c>
      <c r="H91" s="152">
        <f t="shared" si="63"/>
        <v>0</v>
      </c>
      <c r="I91" s="152">
        <f t="shared" si="56"/>
        <v>0</v>
      </c>
      <c r="J91" s="152">
        <f t="shared" si="57"/>
        <v>5000</v>
      </c>
      <c r="K91" s="152">
        <f t="shared" si="58"/>
        <v>5000</v>
      </c>
      <c r="L91" s="63"/>
    </row>
    <row r="92" spans="1:12" s="55" customFormat="1" ht="12.75" hidden="1" customHeight="1">
      <c r="A92" s="62" t="s">
        <v>16</v>
      </c>
      <c r="B92" s="54"/>
      <c r="C92" s="108" t="s">
        <v>104</v>
      </c>
      <c r="D92" s="168"/>
      <c r="E92" s="168"/>
      <c r="F92" s="168"/>
      <c r="G92" s="152"/>
      <c r="H92" s="152"/>
      <c r="I92" s="150">
        <f t="shared" si="56"/>
        <v>0</v>
      </c>
      <c r="J92" s="150">
        <f t="shared" si="57"/>
        <v>0</v>
      </c>
      <c r="K92" s="150">
        <f t="shared" si="58"/>
        <v>0</v>
      </c>
      <c r="L92" s="63"/>
    </row>
    <row r="93" spans="1:12" s="55" customFormat="1" ht="12.75" hidden="1" customHeight="1">
      <c r="A93" s="62" t="s">
        <v>16</v>
      </c>
      <c r="B93" s="54"/>
      <c r="C93" s="108" t="s">
        <v>105</v>
      </c>
      <c r="D93" s="168"/>
      <c r="E93" s="168"/>
      <c r="F93" s="168"/>
      <c r="G93" s="152"/>
      <c r="H93" s="152"/>
      <c r="I93" s="150">
        <f t="shared" si="56"/>
        <v>0</v>
      </c>
      <c r="J93" s="150">
        <f t="shared" si="57"/>
        <v>0</v>
      </c>
      <c r="K93" s="150">
        <f t="shared" si="58"/>
        <v>0</v>
      </c>
      <c r="L93" s="63"/>
    </row>
    <row r="94" spans="1:12" s="55" customFormat="1" ht="12.75" hidden="1" customHeight="1">
      <c r="A94" s="62"/>
      <c r="B94" s="54"/>
      <c r="C94" s="109"/>
      <c r="D94" s="171">
        <f>SUM(D92:D93)</f>
        <v>0</v>
      </c>
      <c r="E94" s="171">
        <f>SUM(E92:E93)</f>
        <v>0</v>
      </c>
      <c r="F94" s="171">
        <f t="shared" ref="F94" si="64">SUM(F92:F93)</f>
        <v>0</v>
      </c>
      <c r="G94" s="152">
        <f t="shared" ref="G94:H94" si="65">SUM(G92:G93)</f>
        <v>0</v>
      </c>
      <c r="H94" s="152">
        <f t="shared" si="65"/>
        <v>0</v>
      </c>
      <c r="I94" s="150">
        <f t="shared" si="56"/>
        <v>0</v>
      </c>
      <c r="J94" s="150">
        <f t="shared" si="57"/>
        <v>0</v>
      </c>
      <c r="K94" s="150">
        <f t="shared" si="58"/>
        <v>0</v>
      </c>
      <c r="L94" s="63"/>
    </row>
    <row r="95" spans="1:12" s="55" customFormat="1" ht="12.75" hidden="1" customHeight="1">
      <c r="A95" s="74"/>
      <c r="B95" s="54"/>
      <c r="C95" s="109"/>
      <c r="D95" s="171"/>
      <c r="E95" s="171"/>
      <c r="F95" s="171"/>
      <c r="G95" s="152"/>
      <c r="H95" s="152"/>
      <c r="I95" s="150">
        <f t="shared" si="56"/>
        <v>0</v>
      </c>
      <c r="J95" s="150">
        <f t="shared" si="57"/>
        <v>0</v>
      </c>
      <c r="K95" s="150">
        <f t="shared" si="58"/>
        <v>0</v>
      </c>
      <c r="L95" s="63"/>
    </row>
    <row r="96" spans="1:12" ht="12.75" hidden="1" customHeight="1">
      <c r="A96" s="62" t="s">
        <v>21</v>
      </c>
      <c r="B96" s="27"/>
      <c r="C96" s="108" t="s">
        <v>91</v>
      </c>
      <c r="D96" s="168"/>
      <c r="E96" s="168"/>
      <c r="F96" s="168"/>
      <c r="G96" s="150"/>
      <c r="H96" s="150"/>
      <c r="I96" s="150">
        <f t="shared" si="56"/>
        <v>0</v>
      </c>
      <c r="J96" s="150">
        <f t="shared" si="57"/>
        <v>0</v>
      </c>
      <c r="K96" s="150">
        <f t="shared" si="58"/>
        <v>0</v>
      </c>
    </row>
    <row r="97" spans="1:12" ht="12.75" hidden="1" customHeight="1">
      <c r="A97" s="71" t="s">
        <v>97</v>
      </c>
      <c r="B97" s="27"/>
      <c r="C97" s="108" t="s">
        <v>92</v>
      </c>
      <c r="D97" s="168"/>
      <c r="E97" s="168"/>
      <c r="F97" s="168"/>
      <c r="G97" s="150"/>
      <c r="H97" s="150"/>
      <c r="I97" s="150">
        <f t="shared" si="56"/>
        <v>0</v>
      </c>
      <c r="J97" s="150">
        <f t="shared" si="57"/>
        <v>0</v>
      </c>
      <c r="K97" s="150">
        <f t="shared" si="58"/>
        <v>0</v>
      </c>
    </row>
    <row r="98" spans="1:12" ht="14.25" hidden="1" customHeight="1">
      <c r="A98" s="71" t="s">
        <v>98</v>
      </c>
      <c r="B98" s="27"/>
      <c r="C98" s="108" t="s">
        <v>93</v>
      </c>
      <c r="D98" s="168"/>
      <c r="E98" s="168"/>
      <c r="F98" s="168"/>
      <c r="G98" s="150"/>
      <c r="H98" s="150"/>
      <c r="I98" s="150">
        <f t="shared" si="56"/>
        <v>0</v>
      </c>
      <c r="J98" s="150">
        <f t="shared" si="57"/>
        <v>0</v>
      </c>
      <c r="K98" s="150">
        <f t="shared" si="58"/>
        <v>0</v>
      </c>
    </row>
    <row r="99" spans="1:12" s="66" customFormat="1" ht="13.5" hidden="1" customHeight="1">
      <c r="A99" s="67" t="s">
        <v>77</v>
      </c>
      <c r="B99" s="65"/>
      <c r="C99" s="110"/>
      <c r="D99" s="170">
        <f t="shared" ref="D99:H99" si="66">SUM(D97:D98)</f>
        <v>0</v>
      </c>
      <c r="E99" s="170">
        <f>SUM(E97:E98)</f>
        <v>0</v>
      </c>
      <c r="F99" s="170">
        <f t="shared" ref="F99" si="67">SUM(F97:F98)</f>
        <v>0</v>
      </c>
      <c r="G99" s="151">
        <f t="shared" si="66"/>
        <v>0</v>
      </c>
      <c r="H99" s="151">
        <f t="shared" si="66"/>
        <v>0</v>
      </c>
      <c r="I99" s="150">
        <f t="shared" si="56"/>
        <v>0</v>
      </c>
      <c r="J99" s="150">
        <f t="shared" si="57"/>
        <v>0</v>
      </c>
      <c r="K99" s="150">
        <f t="shared" si="58"/>
        <v>0</v>
      </c>
      <c r="L99" s="75"/>
    </row>
    <row r="100" spans="1:12" s="55" customFormat="1" ht="12.75" hidden="1" customHeight="1">
      <c r="A100" s="68" t="s">
        <v>113</v>
      </c>
      <c r="B100" s="54"/>
      <c r="C100" s="109"/>
      <c r="D100" s="171">
        <f t="shared" ref="D100:H100" si="68">D96+D99</f>
        <v>0</v>
      </c>
      <c r="E100" s="171">
        <f>E96+E99</f>
        <v>0</v>
      </c>
      <c r="F100" s="171">
        <f t="shared" ref="F100" si="69">F96+F99</f>
        <v>0</v>
      </c>
      <c r="G100" s="152">
        <f t="shared" si="68"/>
        <v>0</v>
      </c>
      <c r="H100" s="152">
        <f t="shared" si="68"/>
        <v>0</v>
      </c>
      <c r="I100" s="150">
        <f t="shared" si="56"/>
        <v>0</v>
      </c>
      <c r="J100" s="150">
        <f t="shared" si="57"/>
        <v>0</v>
      </c>
      <c r="K100" s="150">
        <f t="shared" si="58"/>
        <v>0</v>
      </c>
      <c r="L100" s="63"/>
    </row>
    <row r="101" spans="1:12" s="55" customFormat="1">
      <c r="A101" s="62" t="s">
        <v>17</v>
      </c>
      <c r="B101" s="54"/>
      <c r="C101" s="109" t="s">
        <v>396</v>
      </c>
      <c r="D101" s="168">
        <v>5000</v>
      </c>
      <c r="E101" s="168">
        <f t="shared" ref="E101" si="70">D101</f>
        <v>5000</v>
      </c>
      <c r="F101" s="168">
        <v>0</v>
      </c>
      <c r="G101" s="150">
        <v>0</v>
      </c>
      <c r="H101" s="150">
        <v>0</v>
      </c>
      <c r="I101" s="150">
        <f t="shared" si="56"/>
        <v>0</v>
      </c>
      <c r="J101" s="150">
        <f t="shared" si="57"/>
        <v>5000</v>
      </c>
      <c r="K101" s="150">
        <f t="shared" si="58"/>
        <v>5000</v>
      </c>
    </row>
    <row r="102" spans="1:12" s="55" customFormat="1">
      <c r="A102" s="76"/>
      <c r="B102" s="54"/>
      <c r="C102" s="109"/>
      <c r="D102" s="171"/>
      <c r="E102" s="171"/>
      <c r="F102" s="171"/>
      <c r="G102" s="152"/>
      <c r="H102" s="152"/>
      <c r="I102" s="150"/>
      <c r="J102" s="150"/>
      <c r="K102" s="150"/>
    </row>
    <row r="103" spans="1:12" s="55" customFormat="1">
      <c r="A103" s="45" t="s">
        <v>125</v>
      </c>
      <c r="B103" s="77"/>
      <c r="C103" s="133" t="s">
        <v>146</v>
      </c>
      <c r="D103" s="171">
        <f>D105</f>
        <v>1860</v>
      </c>
      <c r="E103" s="171">
        <f>E105</f>
        <v>1860</v>
      </c>
      <c r="F103" s="171">
        <f t="shared" ref="F103" si="71">F105</f>
        <v>1085</v>
      </c>
      <c r="G103" s="152">
        <f t="shared" ref="G103:H103" si="72">G105</f>
        <v>0</v>
      </c>
      <c r="H103" s="152">
        <f t="shared" si="72"/>
        <v>0</v>
      </c>
      <c r="I103" s="152">
        <f t="shared" si="56"/>
        <v>1085</v>
      </c>
      <c r="J103" s="152">
        <f t="shared" si="57"/>
        <v>775</v>
      </c>
      <c r="K103" s="152">
        <f t="shared" si="58"/>
        <v>775</v>
      </c>
    </row>
    <row r="104" spans="1:12" s="55" customFormat="1" ht="12.75" hidden="1" customHeight="1">
      <c r="A104" s="62" t="s">
        <v>18</v>
      </c>
      <c r="B104" s="77"/>
      <c r="C104" s="108" t="s">
        <v>116</v>
      </c>
      <c r="D104" s="168">
        <v>0</v>
      </c>
      <c r="E104" s="168">
        <v>0</v>
      </c>
      <c r="F104" s="168">
        <v>0</v>
      </c>
      <c r="G104" s="150"/>
      <c r="H104" s="150"/>
      <c r="I104" s="150">
        <f t="shared" si="56"/>
        <v>0</v>
      </c>
      <c r="J104" s="150">
        <f t="shared" si="57"/>
        <v>0</v>
      </c>
      <c r="K104" s="150">
        <f t="shared" si="58"/>
        <v>0</v>
      </c>
    </row>
    <row r="105" spans="1:12" s="55" customFormat="1" ht="25.5">
      <c r="A105" s="64" t="s">
        <v>504</v>
      </c>
      <c r="B105" s="77"/>
      <c r="C105" s="108" t="s">
        <v>383</v>
      </c>
      <c r="D105" s="168">
        <v>1860</v>
      </c>
      <c r="E105" s="168">
        <f t="shared" ref="E105" si="73">D105</f>
        <v>1860</v>
      </c>
      <c r="F105" s="168">
        <v>1085</v>
      </c>
      <c r="G105" s="150">
        <v>0</v>
      </c>
      <c r="H105" s="150">
        <v>0</v>
      </c>
      <c r="I105" s="150">
        <f t="shared" si="56"/>
        <v>1085</v>
      </c>
      <c r="J105" s="150">
        <f t="shared" si="57"/>
        <v>775</v>
      </c>
      <c r="K105" s="150">
        <f t="shared" si="58"/>
        <v>775</v>
      </c>
    </row>
    <row r="106" spans="1:12" s="55" customFormat="1">
      <c r="A106" s="70"/>
      <c r="B106" s="77"/>
      <c r="C106" s="109"/>
      <c r="D106" s="171"/>
      <c r="E106" s="171"/>
      <c r="F106" s="171"/>
      <c r="G106" s="152"/>
      <c r="H106" s="152"/>
      <c r="I106" s="150"/>
      <c r="J106" s="150"/>
      <c r="K106" s="150"/>
    </row>
    <row r="107" spans="1:12" s="55" customFormat="1">
      <c r="A107" s="45" t="s">
        <v>126</v>
      </c>
      <c r="B107" s="77"/>
      <c r="C107" s="133" t="s">
        <v>147</v>
      </c>
      <c r="D107" s="171">
        <f t="shared" ref="D107:H107" si="74">D108</f>
        <v>100986</v>
      </c>
      <c r="E107" s="171">
        <f t="shared" si="74"/>
        <v>100986</v>
      </c>
      <c r="F107" s="171">
        <f t="shared" si="74"/>
        <v>47347.75</v>
      </c>
      <c r="G107" s="152">
        <f t="shared" si="74"/>
        <v>0</v>
      </c>
      <c r="H107" s="152">
        <f t="shared" si="74"/>
        <v>0</v>
      </c>
      <c r="I107" s="152">
        <f t="shared" si="56"/>
        <v>47347.75</v>
      </c>
      <c r="J107" s="152">
        <f t="shared" si="57"/>
        <v>53638.25</v>
      </c>
      <c r="K107" s="152">
        <f t="shared" si="58"/>
        <v>53638.25</v>
      </c>
    </row>
    <row r="108" spans="1:12" s="55" customFormat="1">
      <c r="A108" s="45" t="s">
        <v>127</v>
      </c>
      <c r="B108" s="77"/>
      <c r="C108" s="133" t="s">
        <v>148</v>
      </c>
      <c r="D108" s="171">
        <f>D109+D118+D124+D123</f>
        <v>100986</v>
      </c>
      <c r="E108" s="171">
        <f>E109+E118+E124+E123</f>
        <v>100986</v>
      </c>
      <c r="F108" s="171">
        <f>F109+F118+F124+F123</f>
        <v>47347.75</v>
      </c>
      <c r="G108" s="152">
        <f>G109+G118+G124+G123</f>
        <v>0</v>
      </c>
      <c r="H108" s="152">
        <f>H109+H118+H124+H123</f>
        <v>0</v>
      </c>
      <c r="I108" s="152">
        <f t="shared" si="56"/>
        <v>47347.75</v>
      </c>
      <c r="J108" s="152">
        <f t="shared" si="57"/>
        <v>53638.25</v>
      </c>
      <c r="K108" s="152">
        <f t="shared" si="58"/>
        <v>53638.25</v>
      </c>
    </row>
    <row r="109" spans="1:12" s="55" customFormat="1" ht="25.5">
      <c r="A109" s="48" t="s">
        <v>137</v>
      </c>
      <c r="B109" s="77"/>
      <c r="C109" s="109"/>
      <c r="D109" s="171">
        <f>D110+D114+D117</f>
        <v>72424</v>
      </c>
      <c r="E109" s="171">
        <f>E110+E114+E117</f>
        <v>72424</v>
      </c>
      <c r="F109" s="171">
        <f>F110+F114+F117</f>
        <v>40370.71</v>
      </c>
      <c r="G109" s="152">
        <f>G110+G114+G117</f>
        <v>0</v>
      </c>
      <c r="H109" s="152">
        <f>H110+H114+H117</f>
        <v>0</v>
      </c>
      <c r="I109" s="152">
        <f t="shared" si="56"/>
        <v>40370.71</v>
      </c>
      <c r="J109" s="152">
        <f t="shared" si="57"/>
        <v>32053.29</v>
      </c>
      <c r="K109" s="152">
        <f t="shared" si="58"/>
        <v>32053.29</v>
      </c>
    </row>
    <row r="110" spans="1:12">
      <c r="A110" s="62" t="s">
        <v>11</v>
      </c>
      <c r="B110" s="27"/>
      <c r="C110" s="108" t="s">
        <v>384</v>
      </c>
      <c r="D110" s="168">
        <v>46308</v>
      </c>
      <c r="E110" s="168">
        <f t="shared" ref="E110" si="75">D110</f>
        <v>46308</v>
      </c>
      <c r="F110" s="168">
        <v>31006.68</v>
      </c>
      <c r="G110" s="150">
        <v>0</v>
      </c>
      <c r="H110" s="150">
        <v>0</v>
      </c>
      <c r="I110" s="150">
        <f t="shared" si="56"/>
        <v>31006.68</v>
      </c>
      <c r="J110" s="150">
        <f t="shared" si="57"/>
        <v>15301.32</v>
      </c>
      <c r="K110" s="150">
        <f t="shared" si="58"/>
        <v>15301.32</v>
      </c>
    </row>
    <row r="111" spans="1:12" ht="38.25">
      <c r="A111" s="62" t="s">
        <v>23</v>
      </c>
      <c r="B111" s="27"/>
      <c r="C111" s="108" t="s">
        <v>385</v>
      </c>
      <c r="D111" s="168">
        <v>3000</v>
      </c>
      <c r="E111" s="168">
        <f t="shared" ref="E111:E113" si="76">D111</f>
        <v>3000</v>
      </c>
      <c r="F111" s="168">
        <v>0</v>
      </c>
      <c r="G111" s="150">
        <v>0</v>
      </c>
      <c r="H111" s="150">
        <v>0</v>
      </c>
      <c r="I111" s="150">
        <f t="shared" si="56"/>
        <v>0</v>
      </c>
      <c r="J111" s="150">
        <f t="shared" si="57"/>
        <v>3000</v>
      </c>
      <c r="K111" s="150">
        <f t="shared" si="58"/>
        <v>3000</v>
      </c>
    </row>
    <row r="112" spans="1:12">
      <c r="A112" s="62" t="s">
        <v>13</v>
      </c>
      <c r="B112" s="27"/>
      <c r="C112" s="108" t="s">
        <v>388</v>
      </c>
      <c r="D112" s="168">
        <v>4731</v>
      </c>
      <c r="E112" s="168">
        <f t="shared" si="76"/>
        <v>4731</v>
      </c>
      <c r="F112" s="168">
        <v>0</v>
      </c>
      <c r="G112" s="150">
        <v>0</v>
      </c>
      <c r="H112" s="150">
        <v>0</v>
      </c>
      <c r="I112" s="150">
        <f t="shared" si="56"/>
        <v>0</v>
      </c>
      <c r="J112" s="150">
        <f t="shared" si="57"/>
        <v>4731</v>
      </c>
      <c r="K112" s="150">
        <f t="shared" si="58"/>
        <v>4731</v>
      </c>
    </row>
    <row r="113" spans="1:11">
      <c r="A113" s="62" t="s">
        <v>16</v>
      </c>
      <c r="B113" s="27"/>
      <c r="C113" s="108" t="s">
        <v>389</v>
      </c>
      <c r="D113" s="168">
        <v>4400</v>
      </c>
      <c r="E113" s="168">
        <f t="shared" si="76"/>
        <v>4400</v>
      </c>
      <c r="F113" s="168">
        <v>0</v>
      </c>
      <c r="G113" s="150">
        <v>0</v>
      </c>
      <c r="H113" s="150">
        <v>0</v>
      </c>
      <c r="I113" s="150">
        <f t="shared" si="56"/>
        <v>0</v>
      </c>
      <c r="J113" s="150">
        <f t="shared" si="57"/>
        <v>4400</v>
      </c>
      <c r="K113" s="150">
        <f t="shared" si="58"/>
        <v>4400</v>
      </c>
    </row>
    <row r="114" spans="1:11" s="66" customFormat="1" ht="21" customHeight="1">
      <c r="A114" s="67" t="s">
        <v>79</v>
      </c>
      <c r="B114" s="65"/>
      <c r="C114" s="110"/>
      <c r="D114" s="170">
        <f>SUM(D111:D113)</f>
        <v>12131</v>
      </c>
      <c r="E114" s="170">
        <f t="shared" ref="E114:H114" si="77">SUM(E111:E113)</f>
        <v>12131</v>
      </c>
      <c r="F114" s="170">
        <f t="shared" si="77"/>
        <v>0</v>
      </c>
      <c r="G114" s="151">
        <f t="shared" si="77"/>
        <v>0</v>
      </c>
      <c r="H114" s="151">
        <f t="shared" si="77"/>
        <v>0</v>
      </c>
      <c r="I114" s="151">
        <f t="shared" si="56"/>
        <v>0</v>
      </c>
      <c r="J114" s="151">
        <f t="shared" si="57"/>
        <v>12131</v>
      </c>
      <c r="K114" s="151">
        <f t="shared" si="58"/>
        <v>12131</v>
      </c>
    </row>
    <row r="115" spans="1:11" ht="20.25" customHeight="1">
      <c r="A115" s="71" t="s">
        <v>97</v>
      </c>
      <c r="B115" s="27"/>
      <c r="C115" s="108" t="s">
        <v>386</v>
      </c>
      <c r="D115" s="168">
        <v>10189</v>
      </c>
      <c r="E115" s="168">
        <f t="shared" ref="E115:E116" si="78">D115</f>
        <v>10189</v>
      </c>
      <c r="F115" s="168">
        <f>1520.56+1520.56+760.28+760.28+760.28+309.49+429.73+760.28</f>
        <v>6821.4599999999982</v>
      </c>
      <c r="G115" s="150">
        <v>0</v>
      </c>
      <c r="H115" s="150">
        <v>0</v>
      </c>
      <c r="I115" s="150">
        <f t="shared" si="56"/>
        <v>6821.4599999999982</v>
      </c>
      <c r="J115" s="150">
        <f t="shared" si="57"/>
        <v>3367.5400000000018</v>
      </c>
      <c r="K115" s="150">
        <f t="shared" si="58"/>
        <v>3367.5400000000018</v>
      </c>
    </row>
    <row r="116" spans="1:11">
      <c r="A116" s="71" t="s">
        <v>98</v>
      </c>
      <c r="B116" s="27"/>
      <c r="C116" s="108" t="s">
        <v>387</v>
      </c>
      <c r="D116" s="168">
        <v>3796</v>
      </c>
      <c r="E116" s="168">
        <f t="shared" si="78"/>
        <v>3796</v>
      </c>
      <c r="F116" s="168">
        <f>390.51+176.25+352.5+200.44+13.82+176.25+100.22+6.91+176.25+100.22+6.91+176.25+100.22+6.91+71.74+40.8+2.81+3.91+56.65+99.62+176.25+100.22+6.91</f>
        <v>2542.5699999999997</v>
      </c>
      <c r="G116" s="150">
        <v>0</v>
      </c>
      <c r="H116" s="150">
        <v>0</v>
      </c>
      <c r="I116" s="150">
        <f t="shared" si="56"/>
        <v>2542.5699999999997</v>
      </c>
      <c r="J116" s="150">
        <f t="shared" si="57"/>
        <v>1253.4300000000003</v>
      </c>
      <c r="K116" s="150">
        <f t="shared" si="58"/>
        <v>1253.4300000000003</v>
      </c>
    </row>
    <row r="117" spans="1:11" s="66" customFormat="1" ht="17.25">
      <c r="A117" s="48" t="s">
        <v>138</v>
      </c>
      <c r="B117" s="65"/>
      <c r="C117" s="110"/>
      <c r="D117" s="170">
        <f t="shared" ref="D117:H117" si="79">SUM(D115:D116)</f>
        <v>13985</v>
      </c>
      <c r="E117" s="170">
        <f>SUM(E115:E116)</f>
        <v>13985</v>
      </c>
      <c r="F117" s="170">
        <f t="shared" ref="F117" si="80">SUM(F115:F116)</f>
        <v>9364.0299999999988</v>
      </c>
      <c r="G117" s="151">
        <f t="shared" si="79"/>
        <v>0</v>
      </c>
      <c r="H117" s="151">
        <f t="shared" si="79"/>
        <v>0</v>
      </c>
      <c r="I117" s="152">
        <f t="shared" si="56"/>
        <v>9364.0299999999988</v>
      </c>
      <c r="J117" s="152">
        <f t="shared" si="57"/>
        <v>4620.9700000000012</v>
      </c>
      <c r="K117" s="152">
        <f t="shared" si="58"/>
        <v>4620.9700000000012</v>
      </c>
    </row>
    <row r="118" spans="1:11" s="26" customFormat="1" ht="17.25">
      <c r="A118" s="78" t="s">
        <v>131</v>
      </c>
      <c r="B118" s="25"/>
      <c r="C118" s="110"/>
      <c r="D118" s="170">
        <f>D119+D121</f>
        <v>6055</v>
      </c>
      <c r="E118" s="170">
        <f>E119+E121</f>
        <v>6055</v>
      </c>
      <c r="F118" s="170">
        <f>F119+F121</f>
        <v>800</v>
      </c>
      <c r="G118" s="151">
        <f t="shared" ref="G118:H118" si="81">G119+G121</f>
        <v>0</v>
      </c>
      <c r="H118" s="151">
        <f t="shared" si="81"/>
        <v>0</v>
      </c>
      <c r="I118" s="152">
        <f t="shared" si="56"/>
        <v>800</v>
      </c>
      <c r="J118" s="152">
        <f t="shared" si="57"/>
        <v>5255</v>
      </c>
      <c r="K118" s="152">
        <f t="shared" si="58"/>
        <v>5255</v>
      </c>
    </row>
    <row r="119" spans="1:11">
      <c r="A119" s="62" t="s">
        <v>15</v>
      </c>
      <c r="B119" s="27"/>
      <c r="C119" s="108" t="s">
        <v>390</v>
      </c>
      <c r="D119" s="168">
        <v>1600</v>
      </c>
      <c r="E119" s="168">
        <f t="shared" ref="E119:E124" si="82">D119</f>
        <v>1600</v>
      </c>
      <c r="F119" s="168">
        <v>800</v>
      </c>
      <c r="G119" s="150">
        <v>0</v>
      </c>
      <c r="H119" s="150">
        <v>0</v>
      </c>
      <c r="I119" s="150">
        <f t="shared" si="56"/>
        <v>800</v>
      </c>
      <c r="J119" s="150">
        <f t="shared" si="57"/>
        <v>800</v>
      </c>
      <c r="K119" s="150">
        <f t="shared" si="58"/>
        <v>800</v>
      </c>
    </row>
    <row r="120" spans="1:11" ht="12.75" hidden="1" customHeight="1">
      <c r="A120" s="62" t="s">
        <v>16</v>
      </c>
      <c r="B120" s="27"/>
      <c r="C120" s="108" t="s">
        <v>117</v>
      </c>
      <c r="D120" s="168"/>
      <c r="E120" s="168">
        <f t="shared" si="82"/>
        <v>0</v>
      </c>
      <c r="F120" s="168">
        <v>0</v>
      </c>
      <c r="G120" s="150">
        <v>0</v>
      </c>
      <c r="H120" s="150">
        <v>0</v>
      </c>
      <c r="I120" s="150">
        <f t="shared" si="56"/>
        <v>0</v>
      </c>
      <c r="J120" s="150">
        <f t="shared" si="57"/>
        <v>0</v>
      </c>
      <c r="K120" s="150">
        <f t="shared" si="58"/>
        <v>0</v>
      </c>
    </row>
    <row r="121" spans="1:11">
      <c r="A121" s="62" t="s">
        <v>16</v>
      </c>
      <c r="B121" s="27"/>
      <c r="C121" s="108" t="s">
        <v>391</v>
      </c>
      <c r="D121" s="168">
        <v>4455</v>
      </c>
      <c r="E121" s="168">
        <f t="shared" si="82"/>
        <v>4455</v>
      </c>
      <c r="F121" s="168">
        <v>0</v>
      </c>
      <c r="G121" s="150">
        <v>0</v>
      </c>
      <c r="H121" s="150">
        <v>0</v>
      </c>
      <c r="I121" s="150">
        <f t="shared" si="56"/>
        <v>0</v>
      </c>
      <c r="J121" s="150">
        <f t="shared" si="57"/>
        <v>4455</v>
      </c>
      <c r="K121" s="150">
        <f t="shared" si="58"/>
        <v>4455</v>
      </c>
    </row>
    <row r="122" spans="1:11" ht="12.75" hidden="1" customHeight="1">
      <c r="A122" s="62" t="s">
        <v>18</v>
      </c>
      <c r="B122" s="27"/>
      <c r="C122" s="108" t="s">
        <v>118</v>
      </c>
      <c r="D122" s="168"/>
      <c r="E122" s="168">
        <f t="shared" si="82"/>
        <v>0</v>
      </c>
      <c r="F122" s="168">
        <v>0</v>
      </c>
      <c r="G122" s="150">
        <v>0</v>
      </c>
      <c r="H122" s="150">
        <v>0</v>
      </c>
      <c r="I122" s="150">
        <f t="shared" si="56"/>
        <v>0</v>
      </c>
      <c r="J122" s="150">
        <f t="shared" si="57"/>
        <v>0</v>
      </c>
      <c r="K122" s="150">
        <f t="shared" si="58"/>
        <v>0</v>
      </c>
    </row>
    <row r="123" spans="1:11">
      <c r="A123" s="79" t="s">
        <v>18</v>
      </c>
      <c r="B123" s="27"/>
      <c r="C123" s="108" t="s">
        <v>392</v>
      </c>
      <c r="D123" s="168">
        <v>7241</v>
      </c>
      <c r="E123" s="168">
        <f t="shared" si="82"/>
        <v>7241</v>
      </c>
      <c r="F123" s="168">
        <v>0</v>
      </c>
      <c r="G123" s="150">
        <v>0</v>
      </c>
      <c r="H123" s="150">
        <v>0</v>
      </c>
      <c r="I123" s="150">
        <f t="shared" si="56"/>
        <v>0</v>
      </c>
      <c r="J123" s="150">
        <f t="shared" si="57"/>
        <v>7241</v>
      </c>
      <c r="K123" s="150">
        <f t="shared" si="58"/>
        <v>7241</v>
      </c>
    </row>
    <row r="124" spans="1:11" ht="25.5">
      <c r="A124" s="64" t="s">
        <v>504</v>
      </c>
      <c r="B124" s="27"/>
      <c r="C124" s="108" t="s">
        <v>393</v>
      </c>
      <c r="D124" s="168">
        <f>1086+14180</f>
        <v>15266</v>
      </c>
      <c r="E124" s="168">
        <f t="shared" si="82"/>
        <v>15266</v>
      </c>
      <c r="F124" s="168">
        <f>6977.04-800</f>
        <v>6177.04</v>
      </c>
      <c r="G124" s="150">
        <v>0</v>
      </c>
      <c r="H124" s="150">
        <v>0</v>
      </c>
      <c r="I124" s="150">
        <f t="shared" si="56"/>
        <v>6177.04</v>
      </c>
      <c r="J124" s="150">
        <f t="shared" si="57"/>
        <v>9088.9599999999991</v>
      </c>
      <c r="K124" s="150">
        <f t="shared" si="58"/>
        <v>9088.9599999999991</v>
      </c>
    </row>
    <row r="125" spans="1:11" s="55" customFormat="1">
      <c r="A125" s="74"/>
      <c r="B125" s="54"/>
      <c r="C125" s="109"/>
      <c r="D125" s="171"/>
      <c r="E125" s="171"/>
      <c r="F125" s="171"/>
      <c r="G125" s="152"/>
      <c r="H125" s="152"/>
      <c r="I125" s="150"/>
      <c r="J125" s="150"/>
      <c r="K125" s="150"/>
    </row>
    <row r="126" spans="1:11" s="55" customFormat="1" ht="21.75">
      <c r="A126" s="130" t="s">
        <v>129</v>
      </c>
      <c r="B126" s="54"/>
      <c r="C126" s="133" t="s">
        <v>149</v>
      </c>
      <c r="D126" s="171">
        <f>D127</f>
        <v>26704.66</v>
      </c>
      <c r="E126" s="171">
        <f>E127</f>
        <v>26704.66</v>
      </c>
      <c r="F126" s="171">
        <f t="shared" ref="F126:H126" si="83">F127</f>
        <v>26704.66</v>
      </c>
      <c r="G126" s="152">
        <f t="shared" si="83"/>
        <v>0</v>
      </c>
      <c r="H126" s="152">
        <f t="shared" si="83"/>
        <v>0</v>
      </c>
      <c r="I126" s="152">
        <f t="shared" si="56"/>
        <v>26704.66</v>
      </c>
      <c r="J126" s="152">
        <f t="shared" si="57"/>
        <v>0</v>
      </c>
      <c r="K126" s="152">
        <f t="shared" si="58"/>
        <v>0</v>
      </c>
    </row>
    <row r="127" spans="1:11" s="55" customFormat="1">
      <c r="A127" s="45" t="s">
        <v>130</v>
      </c>
      <c r="B127" s="54"/>
      <c r="C127" s="133" t="s">
        <v>115</v>
      </c>
      <c r="D127" s="171">
        <f>D130+D131+D132</f>
        <v>26704.66</v>
      </c>
      <c r="E127" s="171">
        <f t="shared" ref="E127:I127" si="84">E130+E131+E132</f>
        <v>26704.66</v>
      </c>
      <c r="F127" s="171">
        <f t="shared" si="84"/>
        <v>26704.66</v>
      </c>
      <c r="G127" s="152">
        <f t="shared" si="84"/>
        <v>0</v>
      </c>
      <c r="H127" s="152">
        <f t="shared" si="84"/>
        <v>0</v>
      </c>
      <c r="I127" s="152">
        <f t="shared" si="84"/>
        <v>26704.66</v>
      </c>
      <c r="J127" s="152">
        <f>D127-I127</f>
        <v>0</v>
      </c>
      <c r="K127" s="152">
        <f t="shared" si="58"/>
        <v>0</v>
      </c>
    </row>
    <row r="128" spans="1:11" s="55" customFormat="1" ht="12.75" hidden="1" customHeight="1">
      <c r="A128" s="62" t="s">
        <v>18</v>
      </c>
      <c r="B128" s="54"/>
      <c r="C128" s="108" t="s">
        <v>58</v>
      </c>
      <c r="D128" s="168"/>
      <c r="E128" s="168"/>
      <c r="F128" s="168"/>
      <c r="G128" s="150"/>
      <c r="H128" s="150"/>
      <c r="I128" s="150">
        <f t="shared" si="56"/>
        <v>0</v>
      </c>
      <c r="J128" s="150">
        <f t="shared" si="57"/>
        <v>0</v>
      </c>
      <c r="K128" s="150">
        <f t="shared" si="58"/>
        <v>0</v>
      </c>
    </row>
    <row r="129" spans="1:11" s="55" customFormat="1" ht="12.75" hidden="1" customHeight="1">
      <c r="A129" s="62" t="s">
        <v>18</v>
      </c>
      <c r="B129" s="54"/>
      <c r="C129" s="108" t="s">
        <v>59</v>
      </c>
      <c r="D129" s="168"/>
      <c r="E129" s="168"/>
      <c r="F129" s="168"/>
      <c r="G129" s="150"/>
      <c r="H129" s="150"/>
      <c r="I129" s="150">
        <f t="shared" si="56"/>
        <v>0</v>
      </c>
      <c r="J129" s="150">
        <f t="shared" si="57"/>
        <v>0</v>
      </c>
      <c r="K129" s="150">
        <f t="shared" si="58"/>
        <v>0</v>
      </c>
    </row>
    <row r="130" spans="1:11" s="55" customFormat="1">
      <c r="A130" s="81" t="s">
        <v>121</v>
      </c>
      <c r="B130" s="54"/>
      <c r="C130" s="108" t="s">
        <v>397</v>
      </c>
      <c r="D130" s="168">
        <f>7241+480+5523.66</f>
        <v>13244.66</v>
      </c>
      <c r="E130" s="168">
        <f t="shared" ref="E130:E132" si="85">D130</f>
        <v>13244.66</v>
      </c>
      <c r="F130" s="168">
        <v>13244.66</v>
      </c>
      <c r="G130" s="150">
        <v>0</v>
      </c>
      <c r="H130" s="150">
        <v>0</v>
      </c>
      <c r="I130" s="150">
        <f t="shared" si="56"/>
        <v>13244.66</v>
      </c>
      <c r="J130" s="150">
        <f t="shared" si="57"/>
        <v>0</v>
      </c>
      <c r="K130" s="150">
        <f t="shared" si="58"/>
        <v>0</v>
      </c>
    </row>
    <row r="131" spans="1:11" s="55" customFormat="1" ht="25.5">
      <c r="A131" s="64" t="s">
        <v>504</v>
      </c>
      <c r="B131" s="54"/>
      <c r="C131" s="108" t="s">
        <v>503</v>
      </c>
      <c r="D131" s="168">
        <v>12808</v>
      </c>
      <c r="E131" s="168">
        <f t="shared" si="85"/>
        <v>12808</v>
      </c>
      <c r="F131" s="168">
        <v>12808</v>
      </c>
      <c r="G131" s="150">
        <v>0</v>
      </c>
      <c r="H131" s="150">
        <v>0</v>
      </c>
      <c r="I131" s="150">
        <f t="shared" ref="I131:I132" si="86">F131+G131+H131</f>
        <v>12808</v>
      </c>
      <c r="J131" s="150">
        <f t="shared" ref="J131:J132" si="87">D131-I131</f>
        <v>0</v>
      </c>
      <c r="K131" s="150">
        <f t="shared" ref="K131:K132" si="88">E131-I131</f>
        <v>0</v>
      </c>
    </row>
    <row r="132" spans="1:11" s="55" customFormat="1" ht="25.5">
      <c r="A132" s="64" t="s">
        <v>504</v>
      </c>
      <c r="B132" s="54"/>
      <c r="C132" s="108" t="s">
        <v>502</v>
      </c>
      <c r="D132" s="168">
        <f>11+641</f>
        <v>652</v>
      </c>
      <c r="E132" s="168">
        <f t="shared" si="85"/>
        <v>652</v>
      </c>
      <c r="F132" s="168">
        <v>652</v>
      </c>
      <c r="G132" s="150">
        <v>0</v>
      </c>
      <c r="H132" s="150">
        <v>0</v>
      </c>
      <c r="I132" s="150">
        <f t="shared" si="86"/>
        <v>652</v>
      </c>
      <c r="J132" s="150">
        <f t="shared" si="87"/>
        <v>0</v>
      </c>
      <c r="K132" s="150">
        <f t="shared" si="88"/>
        <v>0</v>
      </c>
    </row>
    <row r="133" spans="1:11" s="55" customFormat="1">
      <c r="A133" s="68"/>
      <c r="B133" s="54"/>
      <c r="C133" s="108"/>
      <c r="D133" s="171"/>
      <c r="E133" s="171"/>
      <c r="F133" s="171"/>
      <c r="G133" s="152"/>
      <c r="H133" s="152"/>
      <c r="I133" s="150"/>
      <c r="J133" s="150"/>
      <c r="K133" s="150"/>
    </row>
    <row r="134" spans="1:11" s="80" customFormat="1" ht="12.75" hidden="1" customHeight="1">
      <c r="A134" s="82" t="s">
        <v>101</v>
      </c>
      <c r="B134" s="83"/>
      <c r="C134" s="111" t="s">
        <v>102</v>
      </c>
      <c r="D134" s="172"/>
      <c r="E134" s="172"/>
      <c r="F134" s="172"/>
      <c r="G134" s="153"/>
      <c r="H134" s="153"/>
      <c r="I134" s="150">
        <f t="shared" si="56"/>
        <v>0</v>
      </c>
      <c r="J134" s="150">
        <f t="shared" si="57"/>
        <v>0</v>
      </c>
      <c r="K134" s="150">
        <f t="shared" si="58"/>
        <v>0</v>
      </c>
    </row>
    <row r="135" spans="1:11" s="80" customFormat="1" ht="12.75" hidden="1" customHeight="1">
      <c r="A135" s="82" t="s">
        <v>101</v>
      </c>
      <c r="B135" s="83"/>
      <c r="C135" s="111" t="s">
        <v>106</v>
      </c>
      <c r="D135" s="172"/>
      <c r="E135" s="172"/>
      <c r="F135" s="172"/>
      <c r="G135" s="153"/>
      <c r="H135" s="153"/>
      <c r="I135" s="150">
        <f t="shared" si="56"/>
        <v>0</v>
      </c>
      <c r="J135" s="150">
        <f t="shared" si="57"/>
        <v>0</v>
      </c>
      <c r="K135" s="150">
        <f t="shared" si="58"/>
        <v>0</v>
      </c>
    </row>
    <row r="136" spans="1:11" s="80" customFormat="1" ht="12.75" hidden="1" customHeight="1">
      <c r="A136" s="82" t="s">
        <v>101</v>
      </c>
      <c r="B136" s="83"/>
      <c r="C136" s="111" t="s">
        <v>107</v>
      </c>
      <c r="D136" s="172"/>
      <c r="E136" s="172"/>
      <c r="F136" s="172"/>
      <c r="G136" s="153"/>
      <c r="H136" s="153"/>
      <c r="I136" s="150">
        <f t="shared" si="56"/>
        <v>0</v>
      </c>
      <c r="J136" s="150">
        <f t="shared" si="57"/>
        <v>0</v>
      </c>
      <c r="K136" s="150">
        <f t="shared" si="58"/>
        <v>0</v>
      </c>
    </row>
    <row r="137" spans="1:11" s="80" customFormat="1" ht="13.5" hidden="1" customHeight="1">
      <c r="A137" s="82"/>
      <c r="B137" s="83"/>
      <c r="C137" s="111"/>
      <c r="D137" s="173">
        <f>SUM(D135:D136)</f>
        <v>0</v>
      </c>
      <c r="E137" s="173">
        <f>SUM(E135:E136)</f>
        <v>0</v>
      </c>
      <c r="F137" s="173">
        <f t="shared" ref="F137" si="89">SUM(F135:F136)</f>
        <v>0</v>
      </c>
      <c r="G137" s="154">
        <f t="shared" ref="G137:H137" si="90">SUM(G135:G136)</f>
        <v>0</v>
      </c>
      <c r="H137" s="154">
        <f t="shared" si="90"/>
        <v>0</v>
      </c>
      <c r="I137" s="150">
        <f t="shared" si="56"/>
        <v>0</v>
      </c>
      <c r="J137" s="150">
        <f t="shared" si="57"/>
        <v>0</v>
      </c>
      <c r="K137" s="150">
        <f t="shared" si="58"/>
        <v>0</v>
      </c>
    </row>
    <row r="138" spans="1:11" s="80" customFormat="1" ht="12.75" hidden="1" customHeight="1">
      <c r="A138" s="84" t="s">
        <v>108</v>
      </c>
      <c r="B138" s="83"/>
      <c r="C138" s="111"/>
      <c r="D138" s="174">
        <f>SUM(D134:D136)</f>
        <v>0</v>
      </c>
      <c r="E138" s="174">
        <f>SUM(E134:E136)</f>
        <v>0</v>
      </c>
      <c r="F138" s="174">
        <f t="shared" ref="F138" si="91">SUM(F134:F136)</f>
        <v>0</v>
      </c>
      <c r="G138" s="155">
        <f t="shared" ref="G138:H138" si="92">SUM(G134:G136)</f>
        <v>0</v>
      </c>
      <c r="H138" s="155">
        <f t="shared" si="92"/>
        <v>0</v>
      </c>
      <c r="I138" s="150">
        <f t="shared" si="56"/>
        <v>0</v>
      </c>
      <c r="J138" s="150">
        <f t="shared" si="57"/>
        <v>0</v>
      </c>
      <c r="K138" s="150">
        <f t="shared" si="58"/>
        <v>0</v>
      </c>
    </row>
    <row r="139" spans="1:11" s="80" customFormat="1">
      <c r="A139" s="130" t="s">
        <v>132</v>
      </c>
      <c r="B139" s="83"/>
      <c r="C139" s="133" t="s">
        <v>150</v>
      </c>
      <c r="D139" s="171">
        <f>D140</f>
        <v>441942.8</v>
      </c>
      <c r="E139" s="171">
        <f t="shared" ref="E139:H139" si="93">E140</f>
        <v>441942.8</v>
      </c>
      <c r="F139" s="171">
        <f t="shared" si="93"/>
        <v>128750.8</v>
      </c>
      <c r="G139" s="152">
        <f t="shared" si="93"/>
        <v>0</v>
      </c>
      <c r="H139" s="152">
        <f t="shared" si="93"/>
        <v>0</v>
      </c>
      <c r="I139" s="152">
        <f t="shared" si="56"/>
        <v>128750.8</v>
      </c>
      <c r="J139" s="152">
        <f t="shared" si="57"/>
        <v>313192</v>
      </c>
      <c r="K139" s="152">
        <f t="shared" si="58"/>
        <v>313192</v>
      </c>
    </row>
    <row r="140" spans="1:11" s="80" customFormat="1">
      <c r="A140" s="45" t="s">
        <v>133</v>
      </c>
      <c r="B140" s="83"/>
      <c r="C140" s="133" t="s">
        <v>128</v>
      </c>
      <c r="D140" s="171">
        <f>D145+D146+D147+D148+D142+D144+D143</f>
        <v>441942.8</v>
      </c>
      <c r="E140" s="171">
        <f t="shared" ref="E140:I140" si="94">E145+E146+E147+E148+E142+E144+E143</f>
        <v>441942.8</v>
      </c>
      <c r="F140" s="171">
        <f t="shared" si="94"/>
        <v>128750.8</v>
      </c>
      <c r="G140" s="152">
        <f t="shared" si="94"/>
        <v>0</v>
      </c>
      <c r="H140" s="152">
        <f t="shared" si="94"/>
        <v>0</v>
      </c>
      <c r="I140" s="152">
        <f t="shared" si="94"/>
        <v>128750.8</v>
      </c>
      <c r="J140" s="152">
        <f t="shared" si="57"/>
        <v>313192</v>
      </c>
      <c r="K140" s="152">
        <f t="shared" si="58"/>
        <v>313192</v>
      </c>
    </row>
    <row r="141" spans="1:11" s="80" customFormat="1">
      <c r="A141" s="48" t="s">
        <v>131</v>
      </c>
      <c r="B141" s="83"/>
      <c r="C141" s="111"/>
      <c r="D141" s="174"/>
      <c r="E141" s="174"/>
      <c r="F141" s="174"/>
      <c r="G141" s="155"/>
      <c r="H141" s="155"/>
      <c r="I141" s="150"/>
      <c r="J141" s="150"/>
      <c r="K141" s="150"/>
    </row>
    <row r="142" spans="1:11" s="55" customFormat="1" ht="17.25" customHeight="1">
      <c r="A142" s="62" t="s">
        <v>15</v>
      </c>
      <c r="B142" s="54"/>
      <c r="C142" s="108" t="s">
        <v>478</v>
      </c>
      <c r="D142" s="168">
        <f>2730-990-1740</f>
        <v>0</v>
      </c>
      <c r="E142" s="168">
        <f t="shared" ref="E142:E148" si="95">D142</f>
        <v>0</v>
      </c>
      <c r="F142" s="168">
        <v>0</v>
      </c>
      <c r="G142" s="150">
        <v>0</v>
      </c>
      <c r="H142" s="150">
        <v>0</v>
      </c>
      <c r="I142" s="150">
        <f t="shared" ref="I142" si="96">F142+G142+H142</f>
        <v>0</v>
      </c>
      <c r="J142" s="150">
        <f t="shared" ref="J142" si="97">D142-I142</f>
        <v>0</v>
      </c>
      <c r="K142" s="150">
        <f t="shared" ref="K142" si="98">E142-I142</f>
        <v>0</v>
      </c>
    </row>
    <row r="143" spans="1:11" s="55" customFormat="1" ht="17.25" customHeight="1">
      <c r="A143" s="62" t="s">
        <v>15</v>
      </c>
      <c r="B143" s="54"/>
      <c r="C143" s="108" t="s">
        <v>508</v>
      </c>
      <c r="D143" s="168">
        <f>1740+990</f>
        <v>2730</v>
      </c>
      <c r="E143" s="168">
        <f t="shared" si="95"/>
        <v>2730</v>
      </c>
      <c r="F143" s="168">
        <v>2730</v>
      </c>
      <c r="G143" s="150">
        <v>0</v>
      </c>
      <c r="H143" s="150">
        <v>0</v>
      </c>
      <c r="I143" s="150">
        <f t="shared" ref="I143" si="99">F143+G143+H143</f>
        <v>2730</v>
      </c>
      <c r="J143" s="150">
        <f t="shared" ref="J143" si="100">D143-I143</f>
        <v>0</v>
      </c>
      <c r="K143" s="150">
        <f t="shared" ref="K143" si="101">E143-I143</f>
        <v>0</v>
      </c>
    </row>
    <row r="144" spans="1:11" s="55" customFormat="1" ht="17.25" customHeight="1">
      <c r="A144" s="62" t="s">
        <v>16</v>
      </c>
      <c r="B144" s="54"/>
      <c r="C144" s="108" t="s">
        <v>479</v>
      </c>
      <c r="D144" s="168">
        <f>20620.8+6400</f>
        <v>27020.799999999999</v>
      </c>
      <c r="E144" s="168">
        <f t="shared" si="95"/>
        <v>27020.799999999999</v>
      </c>
      <c r="F144" s="168">
        <v>27020.799999999999</v>
      </c>
      <c r="G144" s="150">
        <v>0</v>
      </c>
      <c r="H144" s="150">
        <v>0</v>
      </c>
      <c r="I144" s="150">
        <f t="shared" ref="I144" si="102">F144+G144+H144</f>
        <v>27020.799999999999</v>
      </c>
      <c r="J144" s="150">
        <f t="shared" ref="J144" si="103">D144-I144</f>
        <v>0</v>
      </c>
      <c r="K144" s="150">
        <f t="shared" ref="K144" si="104">E144-I144</f>
        <v>0</v>
      </c>
    </row>
    <row r="145" spans="1:11" s="55" customFormat="1" ht="17.25" customHeight="1">
      <c r="A145" s="62" t="s">
        <v>15</v>
      </c>
      <c r="B145" s="54"/>
      <c r="C145" s="108" t="s">
        <v>398</v>
      </c>
      <c r="D145" s="168">
        <v>107200</v>
      </c>
      <c r="E145" s="168">
        <f t="shared" si="95"/>
        <v>107200</v>
      </c>
      <c r="F145" s="168">
        <v>0</v>
      </c>
      <c r="G145" s="150">
        <v>0</v>
      </c>
      <c r="H145" s="150">
        <v>0</v>
      </c>
      <c r="I145" s="150">
        <f t="shared" si="56"/>
        <v>0</v>
      </c>
      <c r="J145" s="150">
        <f t="shared" si="57"/>
        <v>107200</v>
      </c>
      <c r="K145" s="150">
        <f t="shared" si="58"/>
        <v>107200</v>
      </c>
    </row>
    <row r="146" spans="1:11" s="55" customFormat="1" ht="17.25" customHeight="1">
      <c r="A146" s="62" t="s">
        <v>16</v>
      </c>
      <c r="B146" s="54"/>
      <c r="C146" s="108" t="s">
        <v>471</v>
      </c>
      <c r="D146" s="168">
        <v>32000</v>
      </c>
      <c r="E146" s="168">
        <f t="shared" si="95"/>
        <v>32000</v>
      </c>
      <c r="F146" s="168">
        <v>0</v>
      </c>
      <c r="G146" s="150">
        <v>0</v>
      </c>
      <c r="H146" s="150">
        <v>0</v>
      </c>
      <c r="I146" s="150">
        <f t="shared" si="56"/>
        <v>0</v>
      </c>
      <c r="J146" s="150">
        <f t="shared" si="57"/>
        <v>32000</v>
      </c>
      <c r="K146" s="150">
        <f t="shared" si="58"/>
        <v>32000</v>
      </c>
    </row>
    <row r="147" spans="1:11" s="55" customFormat="1" ht="17.25" customHeight="1">
      <c r="A147" s="62" t="s">
        <v>15</v>
      </c>
      <c r="B147" s="54"/>
      <c r="C147" s="108" t="s">
        <v>473</v>
      </c>
      <c r="D147" s="168">
        <f>173992-26334.39</f>
        <v>147657.60999999999</v>
      </c>
      <c r="E147" s="168">
        <f t="shared" si="95"/>
        <v>147657.60999999999</v>
      </c>
      <c r="F147" s="168">
        <v>0</v>
      </c>
      <c r="G147" s="150">
        <v>0</v>
      </c>
      <c r="H147" s="150">
        <v>0</v>
      </c>
      <c r="I147" s="150">
        <f t="shared" ref="I147" si="105">F147+G147+H147</f>
        <v>0</v>
      </c>
      <c r="J147" s="150">
        <f t="shared" ref="J147" si="106">D147-I147</f>
        <v>147657.60999999999</v>
      </c>
      <c r="K147" s="150">
        <f t="shared" ref="K147" si="107">E147-I147</f>
        <v>147657.60999999999</v>
      </c>
    </row>
    <row r="148" spans="1:11" s="55" customFormat="1" ht="17.25" customHeight="1">
      <c r="A148" s="62" t="s">
        <v>16</v>
      </c>
      <c r="B148" s="54"/>
      <c r="C148" s="108" t="s">
        <v>472</v>
      </c>
      <c r="D148" s="168">
        <f>26334.39+99000</f>
        <v>125334.39</v>
      </c>
      <c r="E148" s="168">
        <f t="shared" si="95"/>
        <v>125334.39</v>
      </c>
      <c r="F148" s="168">
        <v>99000</v>
      </c>
      <c r="G148" s="150">
        <v>0</v>
      </c>
      <c r="H148" s="150">
        <v>0</v>
      </c>
      <c r="I148" s="150">
        <f t="shared" si="56"/>
        <v>99000</v>
      </c>
      <c r="J148" s="150">
        <f t="shared" si="57"/>
        <v>26334.39</v>
      </c>
      <c r="K148" s="150">
        <f t="shared" si="58"/>
        <v>26334.39</v>
      </c>
    </row>
    <row r="149" spans="1:11" s="55" customFormat="1" ht="17.25" customHeight="1">
      <c r="A149" s="131" t="s">
        <v>134</v>
      </c>
      <c r="B149" s="54"/>
      <c r="C149" s="109" t="s">
        <v>140</v>
      </c>
      <c r="D149" s="171">
        <f>D154+D150+D166</f>
        <v>982490.62</v>
      </c>
      <c r="E149" s="171">
        <f t="shared" ref="E149:I149" si="108">E154+E150+E166</f>
        <v>982490.62</v>
      </c>
      <c r="F149" s="171">
        <f t="shared" si="108"/>
        <v>351439.73</v>
      </c>
      <c r="G149" s="152">
        <f t="shared" si="108"/>
        <v>0</v>
      </c>
      <c r="H149" s="152">
        <f t="shared" si="108"/>
        <v>0</v>
      </c>
      <c r="I149" s="152">
        <f t="shared" si="108"/>
        <v>351439.73</v>
      </c>
      <c r="J149" s="152">
        <f t="shared" ref="J149:J222" si="109">D149-I149</f>
        <v>631050.89</v>
      </c>
      <c r="K149" s="152">
        <f t="shared" ref="K149:K222" si="110">E149-I149</f>
        <v>631050.89</v>
      </c>
    </row>
    <row r="150" spans="1:11" s="55" customFormat="1" ht="17.25" customHeight="1">
      <c r="A150" s="68" t="s">
        <v>316</v>
      </c>
      <c r="B150" s="54"/>
      <c r="C150" s="109" t="s">
        <v>317</v>
      </c>
      <c r="D150" s="171">
        <f t="shared" ref="D150:H152" si="111">D151</f>
        <v>9000</v>
      </c>
      <c r="E150" s="171">
        <f t="shared" si="111"/>
        <v>9000</v>
      </c>
      <c r="F150" s="171">
        <f t="shared" si="111"/>
        <v>0</v>
      </c>
      <c r="G150" s="152">
        <f t="shared" si="111"/>
        <v>0</v>
      </c>
      <c r="H150" s="152">
        <f t="shared" si="111"/>
        <v>0</v>
      </c>
      <c r="I150" s="152">
        <f t="shared" ref="I150:I222" si="112">F150+G150+H150</f>
        <v>0</v>
      </c>
      <c r="J150" s="152">
        <f t="shared" si="109"/>
        <v>9000</v>
      </c>
      <c r="K150" s="152">
        <f t="shared" si="110"/>
        <v>9000</v>
      </c>
    </row>
    <row r="151" spans="1:11" s="55" customFormat="1" ht="17.25" customHeight="1">
      <c r="A151" s="68" t="s">
        <v>318</v>
      </c>
      <c r="B151" s="54"/>
      <c r="C151" s="109" t="s">
        <v>319</v>
      </c>
      <c r="D151" s="171">
        <f t="shared" si="111"/>
        <v>9000</v>
      </c>
      <c r="E151" s="171">
        <f t="shared" si="111"/>
        <v>9000</v>
      </c>
      <c r="F151" s="171">
        <f t="shared" si="111"/>
        <v>0</v>
      </c>
      <c r="G151" s="152">
        <f t="shared" si="111"/>
        <v>0</v>
      </c>
      <c r="H151" s="152">
        <f t="shared" si="111"/>
        <v>0</v>
      </c>
      <c r="I151" s="152">
        <f t="shared" si="112"/>
        <v>0</v>
      </c>
      <c r="J151" s="152">
        <f t="shared" si="109"/>
        <v>9000</v>
      </c>
      <c r="K151" s="152">
        <f t="shared" si="110"/>
        <v>9000</v>
      </c>
    </row>
    <row r="152" spans="1:11" s="55" customFormat="1" ht="17.25" customHeight="1">
      <c r="A152" s="68" t="s">
        <v>320</v>
      </c>
      <c r="B152" s="54"/>
      <c r="C152" s="109" t="s">
        <v>321</v>
      </c>
      <c r="D152" s="171">
        <f t="shared" si="111"/>
        <v>9000</v>
      </c>
      <c r="E152" s="171">
        <f t="shared" si="111"/>
        <v>9000</v>
      </c>
      <c r="F152" s="171">
        <f t="shared" si="111"/>
        <v>0</v>
      </c>
      <c r="G152" s="152">
        <f t="shared" si="111"/>
        <v>0</v>
      </c>
      <c r="H152" s="152">
        <f t="shared" si="111"/>
        <v>0</v>
      </c>
      <c r="I152" s="152">
        <f t="shared" si="112"/>
        <v>0</v>
      </c>
      <c r="J152" s="152">
        <f t="shared" si="109"/>
        <v>9000</v>
      </c>
      <c r="K152" s="152">
        <f t="shared" si="110"/>
        <v>9000</v>
      </c>
    </row>
    <row r="153" spans="1:11" s="55" customFormat="1" ht="24.75" customHeight="1">
      <c r="A153" s="81" t="s">
        <v>322</v>
      </c>
      <c r="B153" s="54"/>
      <c r="C153" s="108" t="s">
        <v>499</v>
      </c>
      <c r="D153" s="168">
        <v>9000</v>
      </c>
      <c r="E153" s="168">
        <f t="shared" ref="E153" si="113">D153</f>
        <v>9000</v>
      </c>
      <c r="F153" s="168">
        <v>0</v>
      </c>
      <c r="G153" s="150">
        <v>0</v>
      </c>
      <c r="H153" s="150">
        <v>0</v>
      </c>
      <c r="I153" s="150">
        <f t="shared" si="112"/>
        <v>0</v>
      </c>
      <c r="J153" s="150">
        <f t="shared" si="109"/>
        <v>9000</v>
      </c>
      <c r="K153" s="150">
        <f t="shared" si="110"/>
        <v>9000</v>
      </c>
    </row>
    <row r="154" spans="1:11" s="55" customFormat="1" ht="17.25" customHeight="1">
      <c r="A154" s="68" t="s">
        <v>135</v>
      </c>
      <c r="B154" s="54"/>
      <c r="C154" s="133" t="s">
        <v>168</v>
      </c>
      <c r="D154" s="171">
        <f>D155</f>
        <v>945555.62</v>
      </c>
      <c r="E154" s="171">
        <f t="shared" ref="E154:I154" si="114">E155</f>
        <v>945555.62</v>
      </c>
      <c r="F154" s="171">
        <f t="shared" si="114"/>
        <v>351439.73</v>
      </c>
      <c r="G154" s="152">
        <f t="shared" si="114"/>
        <v>0</v>
      </c>
      <c r="H154" s="152">
        <f t="shared" si="114"/>
        <v>0</v>
      </c>
      <c r="I154" s="152">
        <f t="shared" si="114"/>
        <v>351439.73</v>
      </c>
      <c r="J154" s="152">
        <f t="shared" si="109"/>
        <v>594115.89</v>
      </c>
      <c r="K154" s="152">
        <f t="shared" si="110"/>
        <v>594115.89</v>
      </c>
    </row>
    <row r="155" spans="1:11" s="55" customFormat="1" ht="17.25" customHeight="1">
      <c r="A155" s="68" t="s">
        <v>135</v>
      </c>
      <c r="B155" s="54"/>
      <c r="C155" s="109" t="s">
        <v>403</v>
      </c>
      <c r="D155" s="171">
        <f>D156+D160</f>
        <v>945555.62</v>
      </c>
      <c r="E155" s="171">
        <f t="shared" ref="E155:I155" si="115">E156+E160</f>
        <v>945555.62</v>
      </c>
      <c r="F155" s="171">
        <f t="shared" si="115"/>
        <v>351439.73</v>
      </c>
      <c r="G155" s="152">
        <f t="shared" si="115"/>
        <v>0</v>
      </c>
      <c r="H155" s="152">
        <f t="shared" si="115"/>
        <v>0</v>
      </c>
      <c r="I155" s="152">
        <f t="shared" si="115"/>
        <v>351439.73</v>
      </c>
      <c r="J155" s="152">
        <f t="shared" si="109"/>
        <v>594115.89</v>
      </c>
      <c r="K155" s="152">
        <f t="shared" si="110"/>
        <v>594115.89</v>
      </c>
    </row>
    <row r="156" spans="1:11" s="80" customFormat="1">
      <c r="A156" s="81" t="s">
        <v>131</v>
      </c>
      <c r="B156" s="83"/>
      <c r="C156" s="108" t="s">
        <v>402</v>
      </c>
      <c r="D156" s="171">
        <f>D157+D158+D159+D161+D163+D164</f>
        <v>944282.62</v>
      </c>
      <c r="E156" s="171">
        <f t="shared" ref="E156:I156" si="116">E157+E158+E159+E161+E163+E164</f>
        <v>944282.62</v>
      </c>
      <c r="F156" s="171">
        <f t="shared" si="116"/>
        <v>350166.73</v>
      </c>
      <c r="G156" s="171">
        <f t="shared" si="116"/>
        <v>0</v>
      </c>
      <c r="H156" s="171">
        <f t="shared" si="116"/>
        <v>0</v>
      </c>
      <c r="I156" s="171">
        <f t="shared" si="116"/>
        <v>350166.73</v>
      </c>
      <c r="J156" s="152">
        <f t="shared" si="109"/>
        <v>594115.89</v>
      </c>
      <c r="K156" s="152">
        <f t="shared" si="110"/>
        <v>594115.89</v>
      </c>
    </row>
    <row r="157" spans="1:11">
      <c r="A157" s="62" t="s">
        <v>14</v>
      </c>
      <c r="B157" s="27"/>
      <c r="C157" s="108" t="s">
        <v>399</v>
      </c>
      <c r="D157" s="168">
        <f>77288.3+358310</f>
        <v>435598.3</v>
      </c>
      <c r="E157" s="168">
        <f t="shared" ref="E157:E161" si="117">D157</f>
        <v>435598.3</v>
      </c>
      <c r="F157" s="168">
        <v>287596.86</v>
      </c>
      <c r="G157" s="150">
        <v>0</v>
      </c>
      <c r="H157" s="150">
        <v>0</v>
      </c>
      <c r="I157" s="150">
        <f t="shared" si="112"/>
        <v>287596.86</v>
      </c>
      <c r="J157" s="150">
        <f t="shared" si="109"/>
        <v>148001.44</v>
      </c>
      <c r="K157" s="150">
        <f t="shared" si="110"/>
        <v>148001.44</v>
      </c>
    </row>
    <row r="158" spans="1:11">
      <c r="A158" s="62" t="s">
        <v>16</v>
      </c>
      <c r="B158" s="27"/>
      <c r="C158" s="108" t="s">
        <v>401</v>
      </c>
      <c r="D158" s="168">
        <v>5000</v>
      </c>
      <c r="E158" s="168">
        <f t="shared" si="117"/>
        <v>5000</v>
      </c>
      <c r="F158" s="168">
        <v>0</v>
      </c>
      <c r="G158" s="150">
        <v>0</v>
      </c>
      <c r="H158" s="150">
        <v>0</v>
      </c>
      <c r="I158" s="150">
        <f t="shared" si="112"/>
        <v>0</v>
      </c>
      <c r="J158" s="150">
        <f t="shared" si="109"/>
        <v>5000</v>
      </c>
      <c r="K158" s="150">
        <f t="shared" si="110"/>
        <v>5000</v>
      </c>
    </row>
    <row r="159" spans="1:11">
      <c r="A159" s="62" t="s">
        <v>16</v>
      </c>
      <c r="B159" s="27"/>
      <c r="C159" s="108" t="s">
        <v>400</v>
      </c>
      <c r="D159" s="168">
        <f>50621-414</f>
        <v>50207</v>
      </c>
      <c r="E159" s="168">
        <f t="shared" si="117"/>
        <v>50207</v>
      </c>
      <c r="F159" s="168">
        <v>41116.29</v>
      </c>
      <c r="G159" s="150">
        <v>0</v>
      </c>
      <c r="H159" s="150">
        <v>0</v>
      </c>
      <c r="I159" s="150">
        <f t="shared" si="112"/>
        <v>41116.29</v>
      </c>
      <c r="J159" s="150">
        <f t="shared" si="109"/>
        <v>9090.7099999999991</v>
      </c>
      <c r="K159" s="150">
        <f t="shared" si="110"/>
        <v>9090.7099999999991</v>
      </c>
    </row>
    <row r="160" spans="1:11" ht="25.5">
      <c r="A160" s="64" t="s">
        <v>504</v>
      </c>
      <c r="B160" s="27"/>
      <c r="C160" s="108" t="s">
        <v>477</v>
      </c>
      <c r="D160" s="168">
        <v>1273</v>
      </c>
      <c r="E160" s="168">
        <f t="shared" si="117"/>
        <v>1273</v>
      </c>
      <c r="F160" s="168">
        <v>1273</v>
      </c>
      <c r="G160" s="150">
        <v>0</v>
      </c>
      <c r="H160" s="150">
        <v>0</v>
      </c>
      <c r="I160" s="150">
        <f t="shared" ref="I160:I161" si="118">F160+G160+H160</f>
        <v>1273</v>
      </c>
      <c r="J160" s="150">
        <f t="shared" ref="J160:J161" si="119">D160-I160</f>
        <v>0</v>
      </c>
      <c r="K160" s="150">
        <f t="shared" ref="K160:K161" si="120">E160-I160</f>
        <v>0</v>
      </c>
    </row>
    <row r="161" spans="1:11">
      <c r="A161" s="62" t="s">
        <v>16</v>
      </c>
      <c r="B161" s="27"/>
      <c r="C161" s="108" t="s">
        <v>491</v>
      </c>
      <c r="D161" s="168">
        <f>40000+163.32</f>
        <v>40163.32</v>
      </c>
      <c r="E161" s="168">
        <f t="shared" si="117"/>
        <v>40163.32</v>
      </c>
      <c r="F161" s="168">
        <v>21453.58</v>
      </c>
      <c r="G161" s="150">
        <v>0</v>
      </c>
      <c r="H161" s="150">
        <v>0</v>
      </c>
      <c r="I161" s="150">
        <f t="shared" si="118"/>
        <v>21453.58</v>
      </c>
      <c r="J161" s="150">
        <f t="shared" si="119"/>
        <v>18709.739999999998</v>
      </c>
      <c r="K161" s="150">
        <f t="shared" si="120"/>
        <v>18709.739999999998</v>
      </c>
    </row>
    <row r="162" spans="1:11">
      <c r="A162" s="62"/>
      <c r="B162" s="27"/>
      <c r="C162" s="108"/>
      <c r="D162" s="168"/>
      <c r="E162" s="168"/>
      <c r="F162" s="168"/>
      <c r="G162" s="150"/>
      <c r="H162" s="150"/>
      <c r="I162" s="150"/>
      <c r="J162" s="150"/>
      <c r="K162" s="150"/>
    </row>
    <row r="163" spans="1:11">
      <c r="A163" s="62" t="s">
        <v>16</v>
      </c>
      <c r="B163" s="27"/>
      <c r="C163" s="108" t="s">
        <v>512</v>
      </c>
      <c r="D163" s="168">
        <v>412900</v>
      </c>
      <c r="E163" s="168">
        <f t="shared" ref="E163" si="121">D163</f>
        <v>412900</v>
      </c>
      <c r="F163" s="168">
        <v>0</v>
      </c>
      <c r="G163" s="150">
        <v>0</v>
      </c>
      <c r="H163" s="150">
        <v>0</v>
      </c>
      <c r="I163" s="150">
        <f t="shared" ref="I163" si="122">F163+G163+H163</f>
        <v>0</v>
      </c>
      <c r="J163" s="150">
        <f t="shared" ref="J163" si="123">D163-I163</f>
        <v>412900</v>
      </c>
      <c r="K163" s="150">
        <f t="shared" ref="K163" si="124">E163-I163</f>
        <v>412900</v>
      </c>
    </row>
    <row r="164" spans="1:11">
      <c r="A164" s="62" t="s">
        <v>16</v>
      </c>
      <c r="B164" s="27"/>
      <c r="C164" s="108" t="s">
        <v>515</v>
      </c>
      <c r="D164" s="168">
        <v>414</v>
      </c>
      <c r="E164" s="168">
        <f t="shared" ref="E164" si="125">D164</f>
        <v>414</v>
      </c>
      <c r="F164" s="168">
        <v>0</v>
      </c>
      <c r="G164" s="150">
        <v>0</v>
      </c>
      <c r="H164" s="150">
        <v>0</v>
      </c>
      <c r="I164" s="150">
        <f t="shared" ref="I164" si="126">F164+G164+H164</f>
        <v>0</v>
      </c>
      <c r="J164" s="150">
        <f t="shared" ref="J164" si="127">D164-I164</f>
        <v>414</v>
      </c>
      <c r="K164" s="150">
        <f t="shared" ref="K164" si="128">E164-I164</f>
        <v>414</v>
      </c>
    </row>
    <row r="165" spans="1:11">
      <c r="A165" s="62"/>
      <c r="B165" s="27"/>
      <c r="C165" s="108"/>
      <c r="D165" s="168"/>
      <c r="E165" s="168"/>
      <c r="F165" s="168"/>
      <c r="G165" s="150"/>
      <c r="H165" s="150"/>
      <c r="I165" s="150"/>
      <c r="J165" s="150"/>
      <c r="K165" s="150"/>
    </row>
    <row r="166" spans="1:11" ht="25.5">
      <c r="A166" s="76" t="s">
        <v>489</v>
      </c>
      <c r="B166" s="27"/>
      <c r="C166" s="133" t="s">
        <v>490</v>
      </c>
      <c r="D166" s="171">
        <f>D167</f>
        <v>27935</v>
      </c>
      <c r="E166" s="171">
        <f t="shared" ref="E166:K166" si="129">E167</f>
        <v>27935</v>
      </c>
      <c r="F166" s="171">
        <f t="shared" si="129"/>
        <v>0</v>
      </c>
      <c r="G166" s="152">
        <f t="shared" si="129"/>
        <v>0</v>
      </c>
      <c r="H166" s="152">
        <f t="shared" si="129"/>
        <v>0</v>
      </c>
      <c r="I166" s="152">
        <f t="shared" si="129"/>
        <v>0</v>
      </c>
      <c r="J166" s="152">
        <f t="shared" si="129"/>
        <v>27935</v>
      </c>
      <c r="K166" s="152">
        <f t="shared" si="129"/>
        <v>27935</v>
      </c>
    </row>
    <row r="167" spans="1:11">
      <c r="A167" s="62" t="s">
        <v>16</v>
      </c>
      <c r="B167" s="27"/>
      <c r="C167" s="108" t="s">
        <v>514</v>
      </c>
      <c r="D167" s="168">
        <v>27935</v>
      </c>
      <c r="E167" s="168">
        <v>27935</v>
      </c>
      <c r="F167" s="168">
        <v>0</v>
      </c>
      <c r="G167" s="150">
        <v>0</v>
      </c>
      <c r="H167" s="150">
        <v>0</v>
      </c>
      <c r="I167" s="150">
        <f t="shared" ref="I167" si="130">F167+G167+H167</f>
        <v>0</v>
      </c>
      <c r="J167" s="150">
        <f t="shared" ref="J167" si="131">D167-I167</f>
        <v>27935</v>
      </c>
      <c r="K167" s="150">
        <f t="shared" ref="K167" si="132">E167-I167</f>
        <v>27935</v>
      </c>
    </row>
    <row r="168" spans="1:11">
      <c r="A168" s="62"/>
      <c r="B168" s="27"/>
      <c r="C168" s="108"/>
      <c r="D168" s="168"/>
      <c r="E168" s="168"/>
      <c r="F168" s="168"/>
      <c r="G168" s="150"/>
      <c r="H168" s="150"/>
      <c r="I168" s="150"/>
      <c r="J168" s="150"/>
      <c r="K168" s="150"/>
    </row>
    <row r="169" spans="1:11" s="55" customFormat="1" ht="25.5">
      <c r="A169" s="68" t="s">
        <v>465</v>
      </c>
      <c r="B169" s="54"/>
      <c r="C169" s="109" t="s">
        <v>458</v>
      </c>
      <c r="D169" s="171">
        <f>D170+D240</f>
        <v>3848622.02</v>
      </c>
      <c r="E169" s="171">
        <f>E170+E240</f>
        <v>3848622.02</v>
      </c>
      <c r="F169" s="171">
        <f>F170+F240</f>
        <v>2320692.23</v>
      </c>
      <c r="G169" s="152">
        <f>G170+G240</f>
        <v>0</v>
      </c>
      <c r="H169" s="152">
        <f>H170+H240</f>
        <v>0</v>
      </c>
      <c r="I169" s="152">
        <f t="shared" si="112"/>
        <v>2320692.23</v>
      </c>
      <c r="J169" s="152">
        <f t="shared" si="109"/>
        <v>1527929.79</v>
      </c>
      <c r="K169" s="152">
        <f t="shared" si="110"/>
        <v>1527929.79</v>
      </c>
    </row>
    <row r="170" spans="1:11" s="55" customFormat="1">
      <c r="A170" s="70" t="s">
        <v>142</v>
      </c>
      <c r="B170" s="54"/>
      <c r="C170" s="133" t="s">
        <v>143</v>
      </c>
      <c r="D170" s="171">
        <f>D171+D207</f>
        <v>2774802</v>
      </c>
      <c r="E170" s="171">
        <f>E171+E207</f>
        <v>2774802</v>
      </c>
      <c r="F170" s="171">
        <f>F171+F207</f>
        <v>1628974.9</v>
      </c>
      <c r="G170" s="152">
        <v>0</v>
      </c>
      <c r="H170" s="152">
        <v>0</v>
      </c>
      <c r="I170" s="152">
        <f t="shared" si="112"/>
        <v>1628974.9</v>
      </c>
      <c r="J170" s="152">
        <f t="shared" si="109"/>
        <v>1145827.1000000001</v>
      </c>
      <c r="K170" s="152">
        <f t="shared" si="110"/>
        <v>1145827.1000000001</v>
      </c>
    </row>
    <row r="171" spans="1:11" s="55" customFormat="1" ht="81.75" customHeight="1">
      <c r="A171" s="129" t="s">
        <v>462</v>
      </c>
      <c r="B171" s="54"/>
      <c r="C171" s="109"/>
      <c r="D171" s="171">
        <f>D172+D182+D191+D193+D195+D192+D200</f>
        <v>2233897</v>
      </c>
      <c r="E171" s="171">
        <f t="shared" ref="E171:I171" si="133">E172+E182+E191+E193+E195+E192+E200</f>
        <v>2233897</v>
      </c>
      <c r="F171" s="171">
        <f>F172+F182+F191+F193+F195+F192+F200</f>
        <v>1318749.8799999999</v>
      </c>
      <c r="G171" s="152">
        <f t="shared" si="133"/>
        <v>0</v>
      </c>
      <c r="H171" s="152">
        <f t="shared" si="133"/>
        <v>0</v>
      </c>
      <c r="I171" s="152">
        <f t="shared" si="133"/>
        <v>1318749.8799999999</v>
      </c>
      <c r="J171" s="152">
        <f t="shared" si="109"/>
        <v>915147.12000000011</v>
      </c>
      <c r="K171" s="152">
        <f t="shared" si="110"/>
        <v>915147.12000000011</v>
      </c>
    </row>
    <row r="172" spans="1:11" s="26" customFormat="1" ht="26.25">
      <c r="A172" s="48" t="s">
        <v>137</v>
      </c>
      <c r="B172" s="25"/>
      <c r="C172" s="110"/>
      <c r="D172" s="170">
        <f>D173+D178+D181</f>
        <v>1012052</v>
      </c>
      <c r="E172" s="170">
        <f>E173+E178+E181</f>
        <v>1012052</v>
      </c>
      <c r="F172" s="170">
        <f t="shared" ref="F172" si="134">F173+F178+F181</f>
        <v>745594.53</v>
      </c>
      <c r="G172" s="151">
        <f t="shared" ref="G172:H172" si="135">G173+G178+G181</f>
        <v>0</v>
      </c>
      <c r="H172" s="151">
        <f t="shared" si="135"/>
        <v>0</v>
      </c>
      <c r="I172" s="152">
        <f t="shared" si="112"/>
        <v>745594.53</v>
      </c>
      <c r="J172" s="152">
        <f t="shared" si="109"/>
        <v>266457.46999999997</v>
      </c>
      <c r="K172" s="152">
        <f t="shared" si="110"/>
        <v>266457.46999999997</v>
      </c>
    </row>
    <row r="173" spans="1:11">
      <c r="A173" s="62" t="s">
        <v>414</v>
      </c>
      <c r="B173" s="65"/>
      <c r="C173" s="108" t="s">
        <v>415</v>
      </c>
      <c r="D173" s="168">
        <v>773466</v>
      </c>
      <c r="E173" s="168">
        <f t="shared" ref="E173:E176" si="136">D173</f>
        <v>773466</v>
      </c>
      <c r="F173" s="168">
        <v>574310.78</v>
      </c>
      <c r="G173" s="150">
        <v>0</v>
      </c>
      <c r="H173" s="150">
        <v>0</v>
      </c>
      <c r="I173" s="150">
        <f t="shared" si="112"/>
        <v>574310.78</v>
      </c>
      <c r="J173" s="150">
        <f t="shared" si="109"/>
        <v>199155.21999999997</v>
      </c>
      <c r="K173" s="150">
        <f t="shared" si="110"/>
        <v>199155.21999999997</v>
      </c>
    </row>
    <row r="174" spans="1:11" ht="38.25" hidden="1" customHeight="1">
      <c r="A174" s="62" t="s">
        <v>22</v>
      </c>
      <c r="B174" s="27"/>
      <c r="C174" s="108" t="s">
        <v>96</v>
      </c>
      <c r="D174" s="168"/>
      <c r="E174" s="168">
        <f t="shared" si="136"/>
        <v>0</v>
      </c>
      <c r="F174" s="168">
        <v>0</v>
      </c>
      <c r="G174" s="150">
        <v>0</v>
      </c>
      <c r="H174" s="150">
        <v>0</v>
      </c>
      <c r="I174" s="150">
        <f t="shared" si="112"/>
        <v>0</v>
      </c>
      <c r="J174" s="150">
        <f t="shared" si="109"/>
        <v>0</v>
      </c>
      <c r="K174" s="150">
        <f t="shared" si="110"/>
        <v>0</v>
      </c>
    </row>
    <row r="175" spans="1:11" ht="38.25" hidden="1">
      <c r="A175" s="62" t="s">
        <v>22</v>
      </c>
      <c r="B175" s="27"/>
      <c r="C175" s="108" t="s">
        <v>416</v>
      </c>
      <c r="D175" s="168">
        <f>2000-2000</f>
        <v>0</v>
      </c>
      <c r="E175" s="168">
        <f t="shared" si="136"/>
        <v>0</v>
      </c>
      <c r="F175" s="168">
        <v>0</v>
      </c>
      <c r="G175" s="150">
        <v>0</v>
      </c>
      <c r="H175" s="150">
        <v>0</v>
      </c>
      <c r="I175" s="150">
        <f t="shared" si="112"/>
        <v>0</v>
      </c>
      <c r="J175" s="150">
        <f t="shared" si="109"/>
        <v>0</v>
      </c>
      <c r="K175" s="150">
        <f t="shared" si="110"/>
        <v>0</v>
      </c>
    </row>
    <row r="176" spans="1:11" ht="38.25">
      <c r="A176" s="62" t="s">
        <v>23</v>
      </c>
      <c r="B176" s="27"/>
      <c r="C176" s="108" t="s">
        <v>417</v>
      </c>
      <c r="D176" s="168">
        <v>5000</v>
      </c>
      <c r="E176" s="168">
        <f t="shared" si="136"/>
        <v>5000</v>
      </c>
      <c r="F176" s="168">
        <v>0</v>
      </c>
      <c r="G176" s="150">
        <v>0</v>
      </c>
      <c r="H176" s="150">
        <v>0</v>
      </c>
      <c r="I176" s="150">
        <f t="shared" si="112"/>
        <v>0</v>
      </c>
      <c r="J176" s="150">
        <f t="shared" si="109"/>
        <v>5000</v>
      </c>
      <c r="K176" s="150">
        <f t="shared" si="110"/>
        <v>5000</v>
      </c>
    </row>
    <row r="177" spans="1:11" ht="12.75" hidden="1" customHeight="1">
      <c r="A177" s="62" t="s">
        <v>114</v>
      </c>
      <c r="B177" s="27"/>
      <c r="C177" s="108" t="s">
        <v>119</v>
      </c>
      <c r="D177" s="168">
        <v>0</v>
      </c>
      <c r="E177" s="168">
        <v>0</v>
      </c>
      <c r="F177" s="168">
        <v>0</v>
      </c>
      <c r="G177" s="150"/>
      <c r="H177" s="150"/>
      <c r="I177" s="150">
        <f t="shared" si="112"/>
        <v>0</v>
      </c>
      <c r="J177" s="150">
        <f t="shared" si="109"/>
        <v>0</v>
      </c>
      <c r="K177" s="150">
        <f t="shared" si="110"/>
        <v>0</v>
      </c>
    </row>
    <row r="178" spans="1:11" s="66" customFormat="1" ht="17.25">
      <c r="A178" s="67" t="s">
        <v>139</v>
      </c>
      <c r="B178" s="65"/>
      <c r="C178" s="110"/>
      <c r="D178" s="170">
        <f>SUM(D174:D177)</f>
        <v>5000</v>
      </c>
      <c r="E178" s="170">
        <f>SUM(E174:E177)</f>
        <v>5000</v>
      </c>
      <c r="F178" s="170">
        <f t="shared" ref="F178" si="137">SUM(F174:F177)</f>
        <v>0</v>
      </c>
      <c r="G178" s="151">
        <f t="shared" ref="G178:H178" si="138">SUM(G174:G177)</f>
        <v>0</v>
      </c>
      <c r="H178" s="151">
        <f t="shared" si="138"/>
        <v>0</v>
      </c>
      <c r="I178" s="152">
        <f t="shared" si="112"/>
        <v>0</v>
      </c>
      <c r="J178" s="152">
        <f t="shared" si="109"/>
        <v>5000</v>
      </c>
      <c r="K178" s="152">
        <f t="shared" si="110"/>
        <v>5000</v>
      </c>
    </row>
    <row r="179" spans="1:11" ht="25.5">
      <c r="A179" s="71" t="s">
        <v>97</v>
      </c>
      <c r="B179" s="27"/>
      <c r="C179" s="108" t="s">
        <v>418</v>
      </c>
      <c r="D179" s="168">
        <v>170162</v>
      </c>
      <c r="E179" s="168">
        <f t="shared" ref="E179:E180" si="139">D179</f>
        <v>170162</v>
      </c>
      <c r="F179" s="168">
        <v>125112.78</v>
      </c>
      <c r="G179" s="150">
        <v>0</v>
      </c>
      <c r="H179" s="150">
        <v>0</v>
      </c>
      <c r="I179" s="150">
        <f t="shared" si="112"/>
        <v>125112.78</v>
      </c>
      <c r="J179" s="150">
        <f t="shared" si="109"/>
        <v>45049.22</v>
      </c>
      <c r="K179" s="150">
        <f t="shared" si="110"/>
        <v>45049.22</v>
      </c>
    </row>
    <row r="180" spans="1:11">
      <c r="A180" s="71" t="s">
        <v>98</v>
      </c>
      <c r="B180" s="27"/>
      <c r="C180" s="108" t="s">
        <v>419</v>
      </c>
      <c r="D180" s="168">
        <v>63424</v>
      </c>
      <c r="E180" s="168">
        <f t="shared" si="139"/>
        <v>63424</v>
      </c>
      <c r="F180" s="168">
        <v>46170.97</v>
      </c>
      <c r="G180" s="150">
        <v>0</v>
      </c>
      <c r="H180" s="150">
        <v>0</v>
      </c>
      <c r="I180" s="150">
        <f t="shared" si="112"/>
        <v>46170.97</v>
      </c>
      <c r="J180" s="150">
        <f t="shared" si="109"/>
        <v>17253.03</v>
      </c>
      <c r="K180" s="150">
        <f t="shared" si="110"/>
        <v>17253.03</v>
      </c>
    </row>
    <row r="181" spans="1:11" s="66" customFormat="1" ht="17.25">
      <c r="A181" s="48" t="s">
        <v>138</v>
      </c>
      <c r="B181" s="65"/>
      <c r="C181" s="110"/>
      <c r="D181" s="170">
        <f t="shared" ref="D181:H181" si="140">SUM(D179:D180)</f>
        <v>233586</v>
      </c>
      <c r="E181" s="170">
        <f>SUM(E179:E180)</f>
        <v>233586</v>
      </c>
      <c r="F181" s="170">
        <f t="shared" ref="F181" si="141">SUM(F179:F180)</f>
        <v>171283.75</v>
      </c>
      <c r="G181" s="151">
        <f t="shared" si="140"/>
        <v>0</v>
      </c>
      <c r="H181" s="151">
        <f t="shared" si="140"/>
        <v>0</v>
      </c>
      <c r="I181" s="151">
        <f t="shared" si="112"/>
        <v>171283.75</v>
      </c>
      <c r="J181" s="151">
        <f t="shared" si="109"/>
        <v>62302.25</v>
      </c>
      <c r="K181" s="151">
        <f t="shared" si="110"/>
        <v>62302.25</v>
      </c>
    </row>
    <row r="182" spans="1:11" s="66" customFormat="1" ht="17.25">
      <c r="A182" s="48" t="s">
        <v>131</v>
      </c>
      <c r="B182" s="65"/>
      <c r="C182" s="110"/>
      <c r="D182" s="170">
        <f>D183+D184+D188+D189+D190</f>
        <v>935229</v>
      </c>
      <c r="E182" s="170">
        <f>E183+E184+E188+E189+E190</f>
        <v>935229</v>
      </c>
      <c r="F182" s="170">
        <f t="shared" ref="F182" si="142">F183+F184+F188+F189+F190</f>
        <v>371152.19</v>
      </c>
      <c r="G182" s="151">
        <f t="shared" ref="G182:H182" si="143">G183+G184+G188+G189+G190</f>
        <v>0</v>
      </c>
      <c r="H182" s="151">
        <f t="shared" si="143"/>
        <v>0</v>
      </c>
      <c r="I182" s="151">
        <f t="shared" si="112"/>
        <v>371152.19</v>
      </c>
      <c r="J182" s="151">
        <f t="shared" si="109"/>
        <v>564076.81000000006</v>
      </c>
      <c r="K182" s="151">
        <f t="shared" si="110"/>
        <v>564076.81000000006</v>
      </c>
    </row>
    <row r="183" spans="1:11">
      <c r="A183" s="62" t="s">
        <v>12</v>
      </c>
      <c r="B183" s="27"/>
      <c r="C183" s="108" t="s">
        <v>420</v>
      </c>
      <c r="D183" s="168">
        <v>7996</v>
      </c>
      <c r="E183" s="168">
        <f t="shared" ref="E183:E187" si="144">D183</f>
        <v>7996</v>
      </c>
      <c r="F183" s="168">
        <v>5651.61</v>
      </c>
      <c r="G183" s="150">
        <v>0</v>
      </c>
      <c r="H183" s="150">
        <v>0</v>
      </c>
      <c r="I183" s="150">
        <f t="shared" si="112"/>
        <v>5651.61</v>
      </c>
      <c r="J183" s="150">
        <f t="shared" si="109"/>
        <v>2344.3900000000003</v>
      </c>
      <c r="K183" s="150">
        <f t="shared" si="110"/>
        <v>2344.3900000000003</v>
      </c>
    </row>
    <row r="184" spans="1:11">
      <c r="A184" s="62" t="s">
        <v>13</v>
      </c>
      <c r="B184" s="27"/>
      <c r="C184" s="108" t="s">
        <v>421</v>
      </c>
      <c r="D184" s="168">
        <v>6913</v>
      </c>
      <c r="E184" s="168">
        <f t="shared" si="144"/>
        <v>6913</v>
      </c>
      <c r="F184" s="168">
        <v>0</v>
      </c>
      <c r="G184" s="150">
        <v>0</v>
      </c>
      <c r="H184" s="150">
        <v>0</v>
      </c>
      <c r="I184" s="150">
        <f t="shared" si="112"/>
        <v>0</v>
      </c>
      <c r="J184" s="150">
        <f t="shared" si="109"/>
        <v>6913</v>
      </c>
      <c r="K184" s="150">
        <f t="shared" si="110"/>
        <v>6913</v>
      </c>
    </row>
    <row r="185" spans="1:11" ht="25.5">
      <c r="A185" s="62" t="s">
        <v>27</v>
      </c>
      <c r="B185" s="27"/>
      <c r="C185" s="108" t="s">
        <v>422</v>
      </c>
      <c r="D185" s="168">
        <v>803460</v>
      </c>
      <c r="E185" s="168">
        <f t="shared" si="144"/>
        <v>803460</v>
      </c>
      <c r="F185" s="168">
        <v>295199.76</v>
      </c>
      <c r="G185" s="150">
        <v>0</v>
      </c>
      <c r="H185" s="150">
        <v>0</v>
      </c>
      <c r="I185" s="150">
        <f t="shared" si="112"/>
        <v>295199.76</v>
      </c>
      <c r="J185" s="150">
        <f t="shared" si="109"/>
        <v>508260.24</v>
      </c>
      <c r="K185" s="150">
        <f t="shared" si="110"/>
        <v>508260.24</v>
      </c>
    </row>
    <row r="186" spans="1:11">
      <c r="A186" s="62" t="s">
        <v>24</v>
      </c>
      <c r="B186" s="27"/>
      <c r="C186" s="108" t="s">
        <v>423</v>
      </c>
      <c r="D186" s="168">
        <v>37900</v>
      </c>
      <c r="E186" s="168">
        <f t="shared" si="144"/>
        <v>37900</v>
      </c>
      <c r="F186" s="168">
        <v>27269.24</v>
      </c>
      <c r="G186" s="150">
        <v>0</v>
      </c>
      <c r="H186" s="150">
        <v>0</v>
      </c>
      <c r="I186" s="150">
        <f t="shared" si="112"/>
        <v>27269.24</v>
      </c>
      <c r="J186" s="150">
        <f t="shared" si="109"/>
        <v>10630.759999999998</v>
      </c>
      <c r="K186" s="150">
        <f t="shared" si="110"/>
        <v>10630.759999999998</v>
      </c>
    </row>
    <row r="187" spans="1:11">
      <c r="A187" s="62" t="s">
        <v>25</v>
      </c>
      <c r="B187" s="27"/>
      <c r="C187" s="108" t="s">
        <v>424</v>
      </c>
      <c r="D187" s="168">
        <v>4710</v>
      </c>
      <c r="E187" s="168">
        <f t="shared" si="144"/>
        <v>4710</v>
      </c>
      <c r="F187" s="168">
        <v>3000.43</v>
      </c>
      <c r="G187" s="150">
        <v>0</v>
      </c>
      <c r="H187" s="150">
        <v>0</v>
      </c>
      <c r="I187" s="150">
        <f t="shared" si="112"/>
        <v>3000.43</v>
      </c>
      <c r="J187" s="150">
        <f t="shared" si="109"/>
        <v>1709.5700000000002</v>
      </c>
      <c r="K187" s="150">
        <f t="shared" si="110"/>
        <v>1709.5700000000002</v>
      </c>
    </row>
    <row r="188" spans="1:11" s="66" customFormat="1" ht="17.25">
      <c r="A188" s="48" t="s">
        <v>14</v>
      </c>
      <c r="B188" s="65"/>
      <c r="C188" s="110"/>
      <c r="D188" s="170">
        <f t="shared" ref="D188:H188" si="145">SUM(D185:D187)</f>
        <v>846070</v>
      </c>
      <c r="E188" s="170">
        <f>SUM(E185:E187)</f>
        <v>846070</v>
      </c>
      <c r="F188" s="170">
        <f t="shared" ref="F188" si="146">SUM(F185:F187)</f>
        <v>325469.43</v>
      </c>
      <c r="G188" s="151">
        <f t="shared" si="145"/>
        <v>0</v>
      </c>
      <c r="H188" s="151">
        <f t="shared" si="145"/>
        <v>0</v>
      </c>
      <c r="I188" s="152">
        <f t="shared" si="112"/>
        <v>325469.43</v>
      </c>
      <c r="J188" s="152">
        <f t="shared" si="109"/>
        <v>520600.57</v>
      </c>
      <c r="K188" s="152">
        <f t="shared" si="110"/>
        <v>520600.57</v>
      </c>
    </row>
    <row r="189" spans="1:11">
      <c r="A189" s="62" t="s">
        <v>15</v>
      </c>
      <c r="B189" s="27"/>
      <c r="C189" s="108" t="s">
        <v>425</v>
      </c>
      <c r="D189" s="168">
        <v>58260</v>
      </c>
      <c r="E189" s="168">
        <f t="shared" ref="E189:E193" si="147">D189</f>
        <v>58260</v>
      </c>
      <c r="F189" s="168">
        <v>40031.15</v>
      </c>
      <c r="G189" s="150">
        <v>0</v>
      </c>
      <c r="H189" s="150">
        <v>0</v>
      </c>
      <c r="I189" s="150">
        <f t="shared" si="112"/>
        <v>40031.15</v>
      </c>
      <c r="J189" s="150">
        <f t="shared" si="109"/>
        <v>18228.849999999999</v>
      </c>
      <c r="K189" s="150">
        <f t="shared" si="110"/>
        <v>18228.849999999999</v>
      </c>
    </row>
    <row r="190" spans="1:11">
      <c r="A190" s="62" t="s">
        <v>16</v>
      </c>
      <c r="B190" s="27"/>
      <c r="C190" s="108" t="s">
        <v>426</v>
      </c>
      <c r="D190" s="168">
        <v>15990</v>
      </c>
      <c r="E190" s="168">
        <f t="shared" si="147"/>
        <v>15990</v>
      </c>
      <c r="F190" s="168">
        <v>0</v>
      </c>
      <c r="G190" s="150">
        <v>0</v>
      </c>
      <c r="H190" s="150">
        <v>0</v>
      </c>
      <c r="I190" s="150">
        <f t="shared" si="112"/>
        <v>0</v>
      </c>
      <c r="J190" s="150">
        <f t="shared" si="109"/>
        <v>15990</v>
      </c>
      <c r="K190" s="150">
        <f t="shared" si="110"/>
        <v>15990</v>
      </c>
    </row>
    <row r="191" spans="1:11">
      <c r="A191" s="62" t="s">
        <v>17</v>
      </c>
      <c r="B191" s="27"/>
      <c r="C191" s="108" t="s">
        <v>427</v>
      </c>
      <c r="D191" s="168">
        <v>9520</v>
      </c>
      <c r="E191" s="168">
        <f t="shared" si="147"/>
        <v>9520</v>
      </c>
      <c r="F191" s="168">
        <v>0</v>
      </c>
      <c r="G191" s="150">
        <v>0</v>
      </c>
      <c r="H191" s="150">
        <v>0</v>
      </c>
      <c r="I191" s="150">
        <f t="shared" si="112"/>
        <v>0</v>
      </c>
      <c r="J191" s="150">
        <f t="shared" si="109"/>
        <v>9520</v>
      </c>
      <c r="K191" s="150">
        <f t="shared" si="110"/>
        <v>9520</v>
      </c>
    </row>
    <row r="192" spans="1:11" hidden="1">
      <c r="A192" s="48" t="s">
        <v>18</v>
      </c>
      <c r="B192" s="27"/>
      <c r="C192" s="108" t="s">
        <v>428</v>
      </c>
      <c r="D192" s="168"/>
      <c r="E192" s="168">
        <f t="shared" si="147"/>
        <v>0</v>
      </c>
      <c r="F192" s="168">
        <v>0</v>
      </c>
      <c r="G192" s="150">
        <v>0</v>
      </c>
      <c r="H192" s="150">
        <v>0</v>
      </c>
      <c r="I192" s="150">
        <f t="shared" si="112"/>
        <v>0</v>
      </c>
      <c r="J192" s="150">
        <f t="shared" si="109"/>
        <v>0</v>
      </c>
      <c r="K192" s="150">
        <f t="shared" si="110"/>
        <v>0</v>
      </c>
    </row>
    <row r="193" spans="1:11" ht="25.5">
      <c r="A193" s="64" t="s">
        <v>504</v>
      </c>
      <c r="B193" s="27"/>
      <c r="C193" s="108" t="s">
        <v>429</v>
      </c>
      <c r="D193" s="168">
        <v>11157</v>
      </c>
      <c r="E193" s="168">
        <f t="shared" si="147"/>
        <v>11157</v>
      </c>
      <c r="F193" s="168">
        <v>0</v>
      </c>
      <c r="G193" s="150">
        <v>0</v>
      </c>
      <c r="H193" s="150">
        <v>0</v>
      </c>
      <c r="I193" s="150">
        <f t="shared" si="112"/>
        <v>0</v>
      </c>
      <c r="J193" s="150">
        <f t="shared" si="109"/>
        <v>11157</v>
      </c>
      <c r="K193" s="150">
        <f t="shared" si="110"/>
        <v>11157</v>
      </c>
    </row>
    <row r="194" spans="1:11">
      <c r="A194" s="48"/>
      <c r="B194" s="27"/>
      <c r="C194" s="108"/>
      <c r="D194" s="168"/>
      <c r="E194" s="168"/>
      <c r="F194" s="168"/>
      <c r="G194" s="150"/>
      <c r="H194" s="150"/>
      <c r="I194" s="150"/>
      <c r="J194" s="150"/>
      <c r="K194" s="150"/>
    </row>
    <row r="195" spans="1:11" s="26" customFormat="1" ht="17.25">
      <c r="A195" s="85" t="s">
        <v>162</v>
      </c>
      <c r="B195" s="25"/>
      <c r="C195" s="110" t="s">
        <v>521</v>
      </c>
      <c r="D195" s="170">
        <f>D196+D199</f>
        <v>165939</v>
      </c>
      <c r="E195" s="170">
        <f>E196+E199</f>
        <v>165939</v>
      </c>
      <c r="F195" s="170">
        <f t="shared" ref="F195" si="148">F196+F199</f>
        <v>102003.16</v>
      </c>
      <c r="G195" s="151">
        <f t="shared" ref="G195:H195" si="149">G196+G199</f>
        <v>0</v>
      </c>
      <c r="H195" s="151">
        <f t="shared" si="149"/>
        <v>0</v>
      </c>
      <c r="I195" s="152">
        <f t="shared" si="112"/>
        <v>102003.16</v>
      </c>
      <c r="J195" s="152">
        <f t="shared" si="109"/>
        <v>63935.839999999997</v>
      </c>
      <c r="K195" s="152">
        <f t="shared" si="110"/>
        <v>63935.839999999997</v>
      </c>
    </row>
    <row r="196" spans="1:11">
      <c r="A196" s="62" t="s">
        <v>414</v>
      </c>
      <c r="B196" s="65"/>
      <c r="C196" s="108" t="s">
        <v>430</v>
      </c>
      <c r="D196" s="168">
        <v>127449</v>
      </c>
      <c r="E196" s="168">
        <f t="shared" ref="E196:E198" si="150">D196</f>
        <v>127449</v>
      </c>
      <c r="F196" s="168">
        <v>76771.600000000006</v>
      </c>
      <c r="G196" s="150">
        <v>0</v>
      </c>
      <c r="H196" s="150">
        <v>0</v>
      </c>
      <c r="I196" s="150">
        <f t="shared" si="112"/>
        <v>76771.600000000006</v>
      </c>
      <c r="J196" s="150">
        <f t="shared" si="109"/>
        <v>50677.399999999994</v>
      </c>
      <c r="K196" s="150">
        <f t="shared" si="110"/>
        <v>50677.399999999994</v>
      </c>
    </row>
    <row r="197" spans="1:11" ht="18" customHeight="1">
      <c r="A197" s="71" t="s">
        <v>97</v>
      </c>
      <c r="B197" s="27"/>
      <c r="C197" s="108" t="s">
        <v>431</v>
      </c>
      <c r="D197" s="168">
        <v>28039</v>
      </c>
      <c r="E197" s="168">
        <f t="shared" si="150"/>
        <v>28039</v>
      </c>
      <c r="F197" s="168">
        <v>18050.310000000001</v>
      </c>
      <c r="G197" s="150">
        <v>0</v>
      </c>
      <c r="H197" s="150">
        <v>0</v>
      </c>
      <c r="I197" s="150">
        <f t="shared" si="112"/>
        <v>18050.310000000001</v>
      </c>
      <c r="J197" s="150">
        <f t="shared" si="109"/>
        <v>9988.6899999999987</v>
      </c>
      <c r="K197" s="150">
        <f t="shared" si="110"/>
        <v>9988.6899999999987</v>
      </c>
    </row>
    <row r="198" spans="1:11" ht="18.75" customHeight="1">
      <c r="A198" s="71" t="s">
        <v>98</v>
      </c>
      <c r="B198" s="27"/>
      <c r="C198" s="108" t="s">
        <v>432</v>
      </c>
      <c r="D198" s="168">
        <v>10451</v>
      </c>
      <c r="E198" s="168">
        <f t="shared" si="150"/>
        <v>10451</v>
      </c>
      <c r="F198" s="168">
        <v>7181.25</v>
      </c>
      <c r="G198" s="150">
        <v>0</v>
      </c>
      <c r="H198" s="150">
        <v>0</v>
      </c>
      <c r="I198" s="150">
        <f t="shared" si="112"/>
        <v>7181.25</v>
      </c>
      <c r="J198" s="150">
        <f t="shared" si="109"/>
        <v>3269.75</v>
      </c>
      <c r="K198" s="150">
        <f t="shared" si="110"/>
        <v>3269.75</v>
      </c>
    </row>
    <row r="199" spans="1:11" s="26" customFormat="1" ht="15.75" customHeight="1">
      <c r="A199" s="48"/>
      <c r="B199" s="65"/>
      <c r="C199" s="110"/>
      <c r="D199" s="170">
        <f>SUM(D197:D198)</f>
        <v>38490</v>
      </c>
      <c r="E199" s="170">
        <f>SUM(E197:E198)</f>
        <v>38490</v>
      </c>
      <c r="F199" s="170">
        <f t="shared" ref="F199" si="151">SUM(F197:F198)</f>
        <v>25231.56</v>
      </c>
      <c r="G199" s="151">
        <f t="shared" ref="G199:H199" si="152">SUM(G197:G198)</f>
        <v>0</v>
      </c>
      <c r="H199" s="151">
        <f t="shared" si="152"/>
        <v>0</v>
      </c>
      <c r="I199" s="152">
        <f t="shared" si="112"/>
        <v>25231.56</v>
      </c>
      <c r="J199" s="152">
        <f t="shared" si="109"/>
        <v>13258.439999999999</v>
      </c>
      <c r="K199" s="152">
        <f t="shared" si="110"/>
        <v>13258.439999999999</v>
      </c>
    </row>
    <row r="200" spans="1:11" s="26" customFormat="1" ht="15.75" customHeight="1">
      <c r="A200" s="146" t="s">
        <v>496</v>
      </c>
      <c r="B200" s="65"/>
      <c r="C200" s="110" t="s">
        <v>497</v>
      </c>
      <c r="D200" s="170">
        <f>D201+D204+D205</f>
        <v>100000</v>
      </c>
      <c r="E200" s="170">
        <f t="shared" ref="E200:K200" si="153">E201+E204+E205</f>
        <v>100000</v>
      </c>
      <c r="F200" s="170">
        <f t="shared" si="153"/>
        <v>100000</v>
      </c>
      <c r="G200" s="151">
        <f t="shared" si="153"/>
        <v>0</v>
      </c>
      <c r="H200" s="151">
        <f t="shared" si="153"/>
        <v>0</v>
      </c>
      <c r="I200" s="151">
        <f t="shared" si="153"/>
        <v>100000</v>
      </c>
      <c r="J200" s="151">
        <f t="shared" si="153"/>
        <v>0</v>
      </c>
      <c r="K200" s="151">
        <f t="shared" si="153"/>
        <v>0</v>
      </c>
    </row>
    <row r="201" spans="1:11">
      <c r="A201" s="62" t="s">
        <v>414</v>
      </c>
      <c r="B201" s="65"/>
      <c r="C201" s="108" t="s">
        <v>492</v>
      </c>
      <c r="D201" s="168">
        <v>30000</v>
      </c>
      <c r="E201" s="168">
        <f t="shared" ref="E201:E203" si="154">D201</f>
        <v>30000</v>
      </c>
      <c r="F201" s="168">
        <v>30000</v>
      </c>
      <c r="G201" s="150">
        <v>0</v>
      </c>
      <c r="H201" s="150">
        <v>0</v>
      </c>
      <c r="I201" s="150">
        <f t="shared" ref="I201:I204" si="155">F201+G201+H201</f>
        <v>30000</v>
      </c>
      <c r="J201" s="150">
        <f t="shared" ref="J201:J204" si="156">D201-I201</f>
        <v>0</v>
      </c>
      <c r="K201" s="150">
        <f t="shared" ref="K201:K204" si="157">E201-I201</f>
        <v>0</v>
      </c>
    </row>
    <row r="202" spans="1:11" ht="18" customHeight="1">
      <c r="A202" s="71" t="s">
        <v>97</v>
      </c>
      <c r="B202" s="27"/>
      <c r="C202" s="108" t="s">
        <v>493</v>
      </c>
      <c r="D202" s="168">
        <v>6600</v>
      </c>
      <c r="E202" s="168">
        <f t="shared" si="154"/>
        <v>6600</v>
      </c>
      <c r="F202" s="168">
        <v>6600</v>
      </c>
      <c r="G202" s="150">
        <v>0</v>
      </c>
      <c r="H202" s="150">
        <v>0</v>
      </c>
      <c r="I202" s="150">
        <f t="shared" si="155"/>
        <v>6600</v>
      </c>
      <c r="J202" s="150">
        <f t="shared" si="156"/>
        <v>0</v>
      </c>
      <c r="K202" s="150">
        <f t="shared" si="157"/>
        <v>0</v>
      </c>
    </row>
    <row r="203" spans="1:11" ht="18.75" customHeight="1">
      <c r="A203" s="71" t="s">
        <v>98</v>
      </c>
      <c r="B203" s="27"/>
      <c r="C203" s="108" t="s">
        <v>494</v>
      </c>
      <c r="D203" s="168">
        <v>2460</v>
      </c>
      <c r="E203" s="168">
        <f t="shared" si="154"/>
        <v>2460</v>
      </c>
      <c r="F203" s="168">
        <v>2460</v>
      </c>
      <c r="G203" s="150">
        <v>0</v>
      </c>
      <c r="H203" s="150">
        <v>0</v>
      </c>
      <c r="I203" s="150">
        <f t="shared" si="155"/>
        <v>2460</v>
      </c>
      <c r="J203" s="150">
        <f t="shared" si="156"/>
        <v>0</v>
      </c>
      <c r="K203" s="150">
        <f t="shared" si="157"/>
        <v>0</v>
      </c>
    </row>
    <row r="204" spans="1:11" s="26" customFormat="1" ht="15.75" customHeight="1">
      <c r="A204" s="48"/>
      <c r="B204" s="65"/>
      <c r="C204" s="110"/>
      <c r="D204" s="170">
        <f>SUM(D202:D203)</f>
        <v>9060</v>
      </c>
      <c r="E204" s="170">
        <f>SUM(E202:E203)</f>
        <v>9060</v>
      </c>
      <c r="F204" s="170">
        <f t="shared" ref="F204:H204" si="158">SUM(F202:F203)</f>
        <v>9060</v>
      </c>
      <c r="G204" s="151">
        <f t="shared" si="158"/>
        <v>0</v>
      </c>
      <c r="H204" s="151">
        <f t="shared" si="158"/>
        <v>0</v>
      </c>
      <c r="I204" s="152">
        <f t="shared" si="155"/>
        <v>9060</v>
      </c>
      <c r="J204" s="152">
        <f t="shared" si="156"/>
        <v>0</v>
      </c>
      <c r="K204" s="152">
        <f t="shared" si="157"/>
        <v>0</v>
      </c>
    </row>
    <row r="205" spans="1:11" s="66" customFormat="1" ht="20.25" customHeight="1">
      <c r="A205" s="81" t="s">
        <v>18</v>
      </c>
      <c r="B205" s="65"/>
      <c r="C205" s="108" t="s">
        <v>495</v>
      </c>
      <c r="D205" s="168">
        <v>60940</v>
      </c>
      <c r="E205" s="168">
        <f t="shared" ref="E205" si="159">D205</f>
        <v>60940</v>
      </c>
      <c r="F205" s="170">
        <v>60940</v>
      </c>
      <c r="G205" s="150">
        <v>0</v>
      </c>
      <c r="H205" s="150">
        <v>0</v>
      </c>
      <c r="I205" s="150">
        <f t="shared" ref="I205" si="160">F205+G205+H205</f>
        <v>60940</v>
      </c>
      <c r="J205" s="150">
        <f t="shared" ref="J205" si="161">D205-I205</f>
        <v>0</v>
      </c>
      <c r="K205" s="150">
        <f t="shared" ref="K205" si="162">E205-I205</f>
        <v>0</v>
      </c>
    </row>
    <row r="206" spans="1:11" s="55" customFormat="1">
      <c r="A206" s="74"/>
      <c r="B206" s="54"/>
      <c r="C206" s="109"/>
      <c r="D206" s="171"/>
      <c r="E206" s="171"/>
      <c r="F206" s="171"/>
      <c r="G206" s="152"/>
      <c r="H206" s="152"/>
      <c r="I206" s="150"/>
      <c r="J206" s="150"/>
      <c r="K206" s="150"/>
    </row>
    <row r="207" spans="1:11" s="55" customFormat="1" ht="89.25" customHeight="1">
      <c r="A207" s="129" t="s">
        <v>463</v>
      </c>
      <c r="B207" s="54"/>
      <c r="C207" s="133" t="s">
        <v>143</v>
      </c>
      <c r="D207" s="171">
        <f>D208+D215+D221+D222+D223+D230+D234+D224</f>
        <v>540905</v>
      </c>
      <c r="E207" s="171">
        <f t="shared" ref="E207:I207" si="163">E208+E215+E221+E222+E223+E230+E234+E224</f>
        <v>540905</v>
      </c>
      <c r="F207" s="171">
        <f t="shared" si="163"/>
        <v>310225.02</v>
      </c>
      <c r="G207" s="152">
        <f t="shared" si="163"/>
        <v>0</v>
      </c>
      <c r="H207" s="152">
        <f t="shared" si="163"/>
        <v>0</v>
      </c>
      <c r="I207" s="152">
        <f t="shared" si="163"/>
        <v>310225.02</v>
      </c>
      <c r="J207" s="152">
        <f t="shared" si="109"/>
        <v>230679.97999999998</v>
      </c>
      <c r="K207" s="152">
        <f t="shared" si="110"/>
        <v>230679.97999999998</v>
      </c>
    </row>
    <row r="208" spans="1:11" ht="25.5">
      <c r="A208" s="48" t="s">
        <v>137</v>
      </c>
      <c r="B208" s="27"/>
      <c r="C208" s="108"/>
      <c r="D208" s="175">
        <f>D209+D211+D214</f>
        <v>415437</v>
      </c>
      <c r="E208" s="175">
        <f t="shared" ref="E208:H208" si="164">E209+E211+E214</f>
        <v>415437</v>
      </c>
      <c r="F208" s="175">
        <f t="shared" si="164"/>
        <v>305807.65000000002</v>
      </c>
      <c r="G208" s="156">
        <f t="shared" si="164"/>
        <v>0</v>
      </c>
      <c r="H208" s="156">
        <f t="shared" si="164"/>
        <v>0</v>
      </c>
      <c r="I208" s="150">
        <f t="shared" si="112"/>
        <v>305807.65000000002</v>
      </c>
      <c r="J208" s="150">
        <f t="shared" si="109"/>
        <v>109629.34999999998</v>
      </c>
      <c r="K208" s="150">
        <f t="shared" si="110"/>
        <v>109629.34999999998</v>
      </c>
    </row>
    <row r="209" spans="1:11">
      <c r="A209" s="62" t="s">
        <v>414</v>
      </c>
      <c r="B209" s="65"/>
      <c r="C209" s="108" t="s">
        <v>433</v>
      </c>
      <c r="D209" s="168">
        <f>316772</f>
        <v>316772</v>
      </c>
      <c r="E209" s="168">
        <f t="shared" ref="E209:E210" si="165">D209</f>
        <v>316772</v>
      </c>
      <c r="F209" s="168">
        <v>235924.91</v>
      </c>
      <c r="G209" s="150">
        <v>0</v>
      </c>
      <c r="H209" s="150">
        <v>0</v>
      </c>
      <c r="I209" s="150">
        <f t="shared" si="112"/>
        <v>235924.91</v>
      </c>
      <c r="J209" s="150">
        <f t="shared" si="109"/>
        <v>80847.09</v>
      </c>
      <c r="K209" s="150">
        <f t="shared" si="110"/>
        <v>80847.09</v>
      </c>
    </row>
    <row r="210" spans="1:11" ht="38.25">
      <c r="A210" s="62" t="s">
        <v>23</v>
      </c>
      <c r="B210" s="27"/>
      <c r="C210" s="108" t="s">
        <v>434</v>
      </c>
      <c r="D210" s="168">
        <v>3000</v>
      </c>
      <c r="E210" s="168">
        <f t="shared" si="165"/>
        <v>3000</v>
      </c>
      <c r="F210" s="168">
        <v>0</v>
      </c>
      <c r="G210" s="150">
        <v>0</v>
      </c>
      <c r="H210" s="150">
        <v>0</v>
      </c>
      <c r="I210" s="150">
        <f t="shared" si="112"/>
        <v>0</v>
      </c>
      <c r="J210" s="150">
        <f t="shared" si="109"/>
        <v>3000</v>
      </c>
      <c r="K210" s="150">
        <f t="shared" si="110"/>
        <v>3000</v>
      </c>
    </row>
    <row r="211" spans="1:11" s="86" customFormat="1" ht="17.25">
      <c r="A211" s="67" t="s">
        <v>139</v>
      </c>
      <c r="B211" s="65"/>
      <c r="C211" s="110"/>
      <c r="D211" s="170">
        <f t="shared" ref="D211:H211" si="166">SUM(D210:D210)</f>
        <v>3000</v>
      </c>
      <c r="E211" s="170">
        <f t="shared" si="166"/>
        <v>3000</v>
      </c>
      <c r="F211" s="170">
        <f t="shared" si="166"/>
        <v>0</v>
      </c>
      <c r="G211" s="151">
        <f t="shared" si="166"/>
        <v>0</v>
      </c>
      <c r="H211" s="151">
        <f t="shared" si="166"/>
        <v>0</v>
      </c>
      <c r="I211" s="152">
        <f t="shared" si="112"/>
        <v>0</v>
      </c>
      <c r="J211" s="152">
        <f t="shared" si="109"/>
        <v>3000</v>
      </c>
      <c r="K211" s="152">
        <f t="shared" si="110"/>
        <v>3000</v>
      </c>
    </row>
    <row r="212" spans="1:11" ht="19.5" customHeight="1">
      <c r="A212" s="71" t="s">
        <v>97</v>
      </c>
      <c r="B212" s="27"/>
      <c r="C212" s="108" t="s">
        <v>435</v>
      </c>
      <c r="D212" s="168">
        <v>69690</v>
      </c>
      <c r="E212" s="168">
        <f t="shared" ref="E212:E213" si="167">D212</f>
        <v>69690</v>
      </c>
      <c r="F212" s="168">
        <v>50939.839999999997</v>
      </c>
      <c r="G212" s="150">
        <v>0</v>
      </c>
      <c r="H212" s="150">
        <v>0</v>
      </c>
      <c r="I212" s="150">
        <f t="shared" si="112"/>
        <v>50939.839999999997</v>
      </c>
      <c r="J212" s="150">
        <f t="shared" si="109"/>
        <v>18750.160000000003</v>
      </c>
      <c r="K212" s="150">
        <f t="shared" si="110"/>
        <v>18750.160000000003</v>
      </c>
    </row>
    <row r="213" spans="1:11">
      <c r="A213" s="71" t="s">
        <v>98</v>
      </c>
      <c r="B213" s="27"/>
      <c r="C213" s="108" t="s">
        <v>436</v>
      </c>
      <c r="D213" s="168">
        <v>25975</v>
      </c>
      <c r="E213" s="168">
        <f t="shared" si="167"/>
        <v>25975</v>
      </c>
      <c r="F213" s="168">
        <v>18942.900000000001</v>
      </c>
      <c r="G213" s="150">
        <v>0</v>
      </c>
      <c r="H213" s="150">
        <v>0</v>
      </c>
      <c r="I213" s="150">
        <f t="shared" si="112"/>
        <v>18942.900000000001</v>
      </c>
      <c r="J213" s="150">
        <f t="shared" si="109"/>
        <v>7032.0999999999985</v>
      </c>
      <c r="K213" s="150">
        <f t="shared" si="110"/>
        <v>7032.0999999999985</v>
      </c>
    </row>
    <row r="214" spans="1:11" s="26" customFormat="1" ht="18" customHeight="1">
      <c r="A214" s="48" t="s">
        <v>138</v>
      </c>
      <c r="B214" s="65"/>
      <c r="C214" s="110"/>
      <c r="D214" s="170">
        <f>SUM(D212:D213)</f>
        <v>95665</v>
      </c>
      <c r="E214" s="170">
        <f>SUM(E212:E213)</f>
        <v>95665</v>
      </c>
      <c r="F214" s="170">
        <f t="shared" ref="F214" si="168">SUM(F212:F213)</f>
        <v>69882.739999999991</v>
      </c>
      <c r="G214" s="151">
        <f t="shared" ref="G214:H214" si="169">SUM(G212:G213)</f>
        <v>0</v>
      </c>
      <c r="H214" s="151">
        <f t="shared" si="169"/>
        <v>0</v>
      </c>
      <c r="I214" s="152">
        <f t="shared" si="112"/>
        <v>69882.739999999991</v>
      </c>
      <c r="J214" s="152">
        <f t="shared" si="109"/>
        <v>25782.260000000009</v>
      </c>
      <c r="K214" s="152">
        <f t="shared" si="110"/>
        <v>25782.260000000009</v>
      </c>
    </row>
    <row r="215" spans="1:11" s="26" customFormat="1" ht="17.25">
      <c r="A215" s="48" t="s">
        <v>131</v>
      </c>
      <c r="B215" s="65"/>
      <c r="C215" s="110"/>
      <c r="D215" s="170">
        <f>D216+D217+D220+D219</f>
        <v>46356.15</v>
      </c>
      <c r="E215" s="170">
        <f>E216+E217+E220+E219</f>
        <v>46356.15</v>
      </c>
      <c r="F215" s="170">
        <f t="shared" ref="F215" si="170">F216+F217+F220+F219</f>
        <v>0</v>
      </c>
      <c r="G215" s="151">
        <f t="shared" ref="G215:H215" si="171">G216+G217+G220+G219</f>
        <v>0</v>
      </c>
      <c r="H215" s="151">
        <f t="shared" si="171"/>
        <v>0</v>
      </c>
      <c r="I215" s="152">
        <f t="shared" si="112"/>
        <v>0</v>
      </c>
      <c r="J215" s="152">
        <f t="shared" si="109"/>
        <v>46356.15</v>
      </c>
      <c r="K215" s="152">
        <f t="shared" si="110"/>
        <v>46356.15</v>
      </c>
    </row>
    <row r="216" spans="1:11">
      <c r="A216" s="62" t="s">
        <v>12</v>
      </c>
      <c r="B216" s="27"/>
      <c r="C216" s="108" t="s">
        <v>437</v>
      </c>
      <c r="D216" s="168">
        <f>32400-19683.85</f>
        <v>12716.150000000001</v>
      </c>
      <c r="E216" s="168">
        <f t="shared" ref="E216:E223" si="172">D216</f>
        <v>12716.150000000001</v>
      </c>
      <c r="F216" s="168">
        <v>0</v>
      </c>
      <c r="G216" s="150">
        <v>0</v>
      </c>
      <c r="H216" s="150">
        <v>0</v>
      </c>
      <c r="I216" s="150">
        <f t="shared" si="112"/>
        <v>0</v>
      </c>
      <c r="J216" s="150">
        <f t="shared" si="109"/>
        <v>12716.150000000001</v>
      </c>
      <c r="K216" s="150">
        <f t="shared" si="110"/>
        <v>12716.150000000001</v>
      </c>
    </row>
    <row r="217" spans="1:11">
      <c r="A217" s="62" t="s">
        <v>13</v>
      </c>
      <c r="B217" s="27"/>
      <c r="C217" s="108" t="s">
        <v>438</v>
      </c>
      <c r="D217" s="168">
        <v>6915</v>
      </c>
      <c r="E217" s="168">
        <f t="shared" si="172"/>
        <v>6915</v>
      </c>
      <c r="F217" s="168">
        <v>0</v>
      </c>
      <c r="G217" s="150">
        <v>0</v>
      </c>
      <c r="H217" s="150">
        <v>0</v>
      </c>
      <c r="I217" s="150">
        <f t="shared" si="112"/>
        <v>0</v>
      </c>
      <c r="J217" s="150">
        <f t="shared" si="109"/>
        <v>6915</v>
      </c>
      <c r="K217" s="150">
        <f t="shared" si="110"/>
        <v>6915</v>
      </c>
    </row>
    <row r="218" spans="1:11" ht="12.75" hidden="1" customHeight="1">
      <c r="A218" s="62" t="s">
        <v>15</v>
      </c>
      <c r="B218" s="27"/>
      <c r="C218" s="108" t="s">
        <v>120</v>
      </c>
      <c r="D218" s="168"/>
      <c r="E218" s="168">
        <f t="shared" si="172"/>
        <v>0</v>
      </c>
      <c r="F218" s="168"/>
      <c r="G218" s="150">
        <v>0</v>
      </c>
      <c r="H218" s="150">
        <v>0</v>
      </c>
      <c r="I218" s="150">
        <f t="shared" si="112"/>
        <v>0</v>
      </c>
      <c r="J218" s="150">
        <f t="shared" si="109"/>
        <v>0</v>
      </c>
      <c r="K218" s="150">
        <f t="shared" si="110"/>
        <v>0</v>
      </c>
    </row>
    <row r="219" spans="1:11">
      <c r="A219" s="62" t="s">
        <v>15</v>
      </c>
      <c r="B219" s="27"/>
      <c r="C219" s="108" t="s">
        <v>439</v>
      </c>
      <c r="D219" s="168">
        <v>7421</v>
      </c>
      <c r="E219" s="168">
        <f t="shared" si="172"/>
        <v>7421</v>
      </c>
      <c r="F219" s="168">
        <v>0</v>
      </c>
      <c r="G219" s="150">
        <v>0</v>
      </c>
      <c r="H219" s="150">
        <v>0</v>
      </c>
      <c r="I219" s="150">
        <f t="shared" si="112"/>
        <v>0</v>
      </c>
      <c r="J219" s="150">
        <f t="shared" si="109"/>
        <v>7421</v>
      </c>
      <c r="K219" s="150">
        <f t="shared" si="110"/>
        <v>7421</v>
      </c>
    </row>
    <row r="220" spans="1:11">
      <c r="A220" s="62" t="s">
        <v>16</v>
      </c>
      <c r="B220" s="27"/>
      <c r="C220" s="108" t="s">
        <v>440</v>
      </c>
      <c r="D220" s="168">
        <v>19304</v>
      </c>
      <c r="E220" s="168">
        <f t="shared" si="172"/>
        <v>19304</v>
      </c>
      <c r="F220" s="168">
        <v>0</v>
      </c>
      <c r="G220" s="150">
        <v>0</v>
      </c>
      <c r="H220" s="150">
        <v>0</v>
      </c>
      <c r="I220" s="150">
        <f t="shared" si="112"/>
        <v>0</v>
      </c>
      <c r="J220" s="150">
        <f t="shared" si="109"/>
        <v>19304</v>
      </c>
      <c r="K220" s="150">
        <f t="shared" si="110"/>
        <v>19304</v>
      </c>
    </row>
    <row r="221" spans="1:11">
      <c r="A221" s="62" t="s">
        <v>17</v>
      </c>
      <c r="B221" s="27"/>
      <c r="C221" s="108" t="s">
        <v>441</v>
      </c>
      <c r="D221" s="168">
        <v>7600</v>
      </c>
      <c r="E221" s="168">
        <f t="shared" si="172"/>
        <v>7600</v>
      </c>
      <c r="F221" s="168">
        <v>0</v>
      </c>
      <c r="G221" s="150">
        <v>0</v>
      </c>
      <c r="H221" s="150">
        <v>0</v>
      </c>
      <c r="I221" s="150">
        <f t="shared" si="112"/>
        <v>0</v>
      </c>
      <c r="J221" s="150">
        <f t="shared" si="109"/>
        <v>7600</v>
      </c>
      <c r="K221" s="150">
        <f t="shared" si="110"/>
        <v>7600</v>
      </c>
    </row>
    <row r="222" spans="1:11" hidden="1">
      <c r="A222" s="81" t="s">
        <v>18</v>
      </c>
      <c r="B222" s="27"/>
      <c r="C222" s="108" t="s">
        <v>442</v>
      </c>
      <c r="D222" s="168"/>
      <c r="E222" s="168">
        <f t="shared" si="172"/>
        <v>0</v>
      </c>
      <c r="F222" s="168">
        <v>0</v>
      </c>
      <c r="G222" s="150">
        <v>0</v>
      </c>
      <c r="H222" s="150">
        <v>0</v>
      </c>
      <c r="I222" s="150">
        <f t="shared" si="112"/>
        <v>0</v>
      </c>
      <c r="J222" s="150">
        <f t="shared" si="109"/>
        <v>0</v>
      </c>
      <c r="K222" s="150">
        <f t="shared" si="110"/>
        <v>0</v>
      </c>
    </row>
    <row r="223" spans="1:11" ht="25.5">
      <c r="A223" s="64" t="s">
        <v>504</v>
      </c>
      <c r="B223" s="27"/>
      <c r="C223" s="108" t="s">
        <v>443</v>
      </c>
      <c r="D223" s="168">
        <v>12578</v>
      </c>
      <c r="E223" s="168">
        <f t="shared" si="172"/>
        <v>12578</v>
      </c>
      <c r="F223" s="168">
        <v>0</v>
      </c>
      <c r="G223" s="150">
        <v>0</v>
      </c>
      <c r="H223" s="150">
        <v>0</v>
      </c>
      <c r="I223" s="150">
        <f t="shared" ref="I223:I289" si="173">F223+G223+H223</f>
        <v>0</v>
      </c>
      <c r="J223" s="150">
        <f t="shared" ref="J223:J290" si="174">D223-I223</f>
        <v>12578</v>
      </c>
      <c r="K223" s="150">
        <f t="shared" ref="K223:K290" si="175">E223-I223</f>
        <v>12578</v>
      </c>
    </row>
    <row r="224" spans="1:11" s="55" customFormat="1">
      <c r="A224" s="160" t="s">
        <v>519</v>
      </c>
      <c r="B224" s="54"/>
      <c r="C224" s="109"/>
      <c r="D224" s="171">
        <f>D225</f>
        <v>19683.849999999999</v>
      </c>
      <c r="E224" s="171">
        <f t="shared" ref="E224:K224" si="176">E225</f>
        <v>19683.849999999999</v>
      </c>
      <c r="F224" s="171">
        <f t="shared" si="176"/>
        <v>4417.37</v>
      </c>
      <c r="G224" s="152">
        <f t="shared" si="176"/>
        <v>0</v>
      </c>
      <c r="H224" s="152">
        <f t="shared" si="176"/>
        <v>0</v>
      </c>
      <c r="I224" s="152">
        <f t="shared" si="176"/>
        <v>4417.37</v>
      </c>
      <c r="J224" s="152">
        <f t="shared" si="176"/>
        <v>15266.48</v>
      </c>
      <c r="K224" s="152">
        <f t="shared" si="176"/>
        <v>15266.48</v>
      </c>
    </row>
    <row r="225" spans="1:11" ht="25.5">
      <c r="A225" s="48" t="s">
        <v>137</v>
      </c>
      <c r="B225" s="27"/>
      <c r="C225" s="108"/>
      <c r="D225" s="175">
        <f>D226+D229</f>
        <v>19683.849999999999</v>
      </c>
      <c r="E225" s="175">
        <f t="shared" ref="E225:K225" si="177">E226+E229</f>
        <v>19683.849999999999</v>
      </c>
      <c r="F225" s="175">
        <f t="shared" si="177"/>
        <v>4417.37</v>
      </c>
      <c r="G225" s="156">
        <f t="shared" si="177"/>
        <v>0</v>
      </c>
      <c r="H225" s="156">
        <f t="shared" si="177"/>
        <v>0</v>
      </c>
      <c r="I225" s="156">
        <f t="shared" si="177"/>
        <v>4417.37</v>
      </c>
      <c r="J225" s="156">
        <f t="shared" si="177"/>
        <v>15266.48</v>
      </c>
      <c r="K225" s="156">
        <f t="shared" si="177"/>
        <v>15266.48</v>
      </c>
    </row>
    <row r="226" spans="1:11">
      <c r="A226" s="62" t="s">
        <v>414</v>
      </c>
      <c r="B226" s="65"/>
      <c r="C226" s="108" t="s">
        <v>516</v>
      </c>
      <c r="D226" s="168">
        <v>15118.16</v>
      </c>
      <c r="E226" s="168">
        <f t="shared" ref="E226" si="178">D226</f>
        <v>15118.16</v>
      </c>
      <c r="F226" s="168">
        <v>3392.75</v>
      </c>
      <c r="G226" s="150">
        <v>0</v>
      </c>
      <c r="H226" s="150">
        <v>0</v>
      </c>
      <c r="I226" s="150">
        <f t="shared" ref="I226:I229" si="179">F226+G226+H226</f>
        <v>3392.75</v>
      </c>
      <c r="J226" s="150">
        <f t="shared" ref="J226:J229" si="180">D226-I226</f>
        <v>11725.41</v>
      </c>
      <c r="K226" s="150">
        <f t="shared" ref="K226:K229" si="181">E226-I226</f>
        <v>11725.41</v>
      </c>
    </row>
    <row r="227" spans="1:11" ht="19.5" customHeight="1">
      <c r="A227" s="71" t="s">
        <v>97</v>
      </c>
      <c r="B227" s="27"/>
      <c r="C227" s="108" t="s">
        <v>517</v>
      </c>
      <c r="D227" s="168">
        <v>3326</v>
      </c>
      <c r="E227" s="168">
        <f t="shared" ref="E227:E228" si="182">D227</f>
        <v>3326</v>
      </c>
      <c r="F227" s="168">
        <v>746.41</v>
      </c>
      <c r="G227" s="150">
        <v>0</v>
      </c>
      <c r="H227" s="150">
        <v>0</v>
      </c>
      <c r="I227" s="150">
        <f t="shared" si="179"/>
        <v>746.41</v>
      </c>
      <c r="J227" s="150">
        <f t="shared" si="180"/>
        <v>2579.59</v>
      </c>
      <c r="K227" s="150">
        <f t="shared" si="181"/>
        <v>2579.59</v>
      </c>
    </row>
    <row r="228" spans="1:11">
      <c r="A228" s="71" t="s">
        <v>98</v>
      </c>
      <c r="B228" s="27"/>
      <c r="C228" s="108" t="s">
        <v>518</v>
      </c>
      <c r="D228" s="168">
        <v>1239.69</v>
      </c>
      <c r="E228" s="168">
        <f t="shared" si="182"/>
        <v>1239.69</v>
      </c>
      <c r="F228" s="168">
        <v>278.20999999999998</v>
      </c>
      <c r="G228" s="150">
        <v>0</v>
      </c>
      <c r="H228" s="150">
        <v>0</v>
      </c>
      <c r="I228" s="150">
        <f t="shared" si="179"/>
        <v>278.20999999999998</v>
      </c>
      <c r="J228" s="150">
        <f t="shared" si="180"/>
        <v>961.48</v>
      </c>
      <c r="K228" s="150">
        <f t="shared" si="181"/>
        <v>961.48</v>
      </c>
    </row>
    <row r="229" spans="1:11" s="26" customFormat="1" ht="18" customHeight="1">
      <c r="A229" s="48" t="s">
        <v>138</v>
      </c>
      <c r="B229" s="65"/>
      <c r="C229" s="110"/>
      <c r="D229" s="170">
        <f>SUM(D227:D228)</f>
        <v>4565.6900000000005</v>
      </c>
      <c r="E229" s="170">
        <f>SUM(E227:E228)</f>
        <v>4565.6900000000005</v>
      </c>
      <c r="F229" s="170">
        <f t="shared" ref="F229:H229" si="183">SUM(F227:F228)</f>
        <v>1024.6199999999999</v>
      </c>
      <c r="G229" s="151">
        <f t="shared" si="183"/>
        <v>0</v>
      </c>
      <c r="H229" s="151">
        <f t="shared" si="183"/>
        <v>0</v>
      </c>
      <c r="I229" s="152">
        <f t="shared" si="179"/>
        <v>1024.6199999999999</v>
      </c>
      <c r="J229" s="152">
        <f t="shared" si="180"/>
        <v>3541.0700000000006</v>
      </c>
      <c r="K229" s="152">
        <f t="shared" si="181"/>
        <v>3541.0700000000006</v>
      </c>
    </row>
    <row r="230" spans="1:11" s="26" customFormat="1" ht="17.25">
      <c r="A230" s="145" t="s">
        <v>520</v>
      </c>
      <c r="B230" s="25"/>
      <c r="C230" s="110" t="s">
        <v>498</v>
      </c>
      <c r="D230" s="170">
        <f>D231+D232</f>
        <v>39250</v>
      </c>
      <c r="E230" s="170">
        <f t="shared" ref="E230:H230" si="184">E231+E232</f>
        <v>39250</v>
      </c>
      <c r="F230" s="170">
        <f t="shared" ref="F230" si="185">F231+F232</f>
        <v>0</v>
      </c>
      <c r="G230" s="151">
        <f t="shared" si="184"/>
        <v>0</v>
      </c>
      <c r="H230" s="151">
        <f t="shared" si="184"/>
        <v>0</v>
      </c>
      <c r="I230" s="152">
        <f t="shared" si="173"/>
        <v>0</v>
      </c>
      <c r="J230" s="152">
        <f t="shared" si="174"/>
        <v>39250</v>
      </c>
      <c r="K230" s="152">
        <f t="shared" si="175"/>
        <v>39250</v>
      </c>
    </row>
    <row r="231" spans="1:11">
      <c r="A231" s="62" t="s">
        <v>12</v>
      </c>
      <c r="B231" s="27"/>
      <c r="C231" s="108" t="s">
        <v>444</v>
      </c>
      <c r="D231" s="168">
        <v>39250</v>
      </c>
      <c r="E231" s="168">
        <f t="shared" ref="E231" si="186">D231</f>
        <v>39250</v>
      </c>
      <c r="F231" s="168">
        <v>0</v>
      </c>
      <c r="G231" s="150">
        <v>0</v>
      </c>
      <c r="H231" s="150">
        <v>0</v>
      </c>
      <c r="I231" s="150">
        <f t="shared" si="173"/>
        <v>0</v>
      </c>
      <c r="J231" s="150">
        <f t="shared" si="174"/>
        <v>39250</v>
      </c>
      <c r="K231" s="150">
        <f t="shared" si="175"/>
        <v>39250</v>
      </c>
    </row>
    <row r="232" spans="1:11" hidden="1">
      <c r="A232" s="81" t="s">
        <v>18</v>
      </c>
      <c r="B232" s="27"/>
      <c r="C232" s="108" t="s">
        <v>445</v>
      </c>
      <c r="D232" s="168">
        <v>0</v>
      </c>
      <c r="E232" s="168">
        <v>0</v>
      </c>
      <c r="F232" s="168">
        <v>0</v>
      </c>
      <c r="G232" s="150">
        <v>0</v>
      </c>
      <c r="H232" s="150">
        <v>0</v>
      </c>
      <c r="I232" s="150">
        <f t="shared" si="173"/>
        <v>0</v>
      </c>
      <c r="J232" s="150">
        <f t="shared" si="174"/>
        <v>0</v>
      </c>
      <c r="K232" s="150">
        <f t="shared" si="175"/>
        <v>0</v>
      </c>
    </row>
    <row r="233" spans="1:11" hidden="1">
      <c r="A233" s="81"/>
      <c r="B233" s="27"/>
      <c r="C233" s="108"/>
      <c r="D233" s="168"/>
      <c r="E233" s="168"/>
      <c r="F233" s="168"/>
      <c r="G233" s="150"/>
      <c r="H233" s="150"/>
      <c r="I233" s="150">
        <f t="shared" si="173"/>
        <v>0</v>
      </c>
      <c r="J233" s="150">
        <f t="shared" si="174"/>
        <v>0</v>
      </c>
      <c r="K233" s="150">
        <f t="shared" si="175"/>
        <v>0</v>
      </c>
    </row>
    <row r="234" spans="1:11" s="86" customFormat="1" hidden="1">
      <c r="A234" s="101" t="s">
        <v>333</v>
      </c>
      <c r="B234" s="100"/>
      <c r="C234" s="112"/>
      <c r="D234" s="175">
        <f>D235+D236+D237</f>
        <v>0</v>
      </c>
      <c r="E234" s="175">
        <f t="shared" ref="E234:H234" si="187">E235+E236+E237</f>
        <v>0</v>
      </c>
      <c r="F234" s="175">
        <f t="shared" ref="F234" si="188">F235+F236+F237</f>
        <v>0</v>
      </c>
      <c r="G234" s="156">
        <f t="shared" si="187"/>
        <v>0</v>
      </c>
      <c r="H234" s="156">
        <f t="shared" si="187"/>
        <v>0</v>
      </c>
      <c r="I234" s="150">
        <f t="shared" si="173"/>
        <v>0</v>
      </c>
      <c r="J234" s="150">
        <f t="shared" si="174"/>
        <v>0</v>
      </c>
      <c r="K234" s="150">
        <f t="shared" si="175"/>
        <v>0</v>
      </c>
    </row>
    <row r="235" spans="1:11" hidden="1">
      <c r="A235" s="62" t="s">
        <v>12</v>
      </c>
      <c r="B235" s="27"/>
      <c r="C235" s="108" t="s">
        <v>446</v>
      </c>
      <c r="D235" s="168"/>
      <c r="E235" s="168"/>
      <c r="F235" s="168"/>
      <c r="G235" s="150">
        <v>0</v>
      </c>
      <c r="H235" s="150">
        <v>0</v>
      </c>
      <c r="I235" s="150">
        <f t="shared" si="173"/>
        <v>0</v>
      </c>
      <c r="J235" s="150">
        <f t="shared" si="174"/>
        <v>0</v>
      </c>
      <c r="K235" s="150">
        <f t="shared" si="175"/>
        <v>0</v>
      </c>
    </row>
    <row r="236" spans="1:11" hidden="1">
      <c r="A236" s="62" t="s">
        <v>16</v>
      </c>
      <c r="B236" s="27"/>
      <c r="C236" s="108" t="s">
        <v>447</v>
      </c>
      <c r="D236" s="168"/>
      <c r="E236" s="168"/>
      <c r="F236" s="168"/>
      <c r="G236" s="150">
        <v>0</v>
      </c>
      <c r="H236" s="150">
        <v>0</v>
      </c>
      <c r="I236" s="150">
        <f t="shared" si="173"/>
        <v>0</v>
      </c>
      <c r="J236" s="150">
        <f t="shared" si="174"/>
        <v>0</v>
      </c>
      <c r="K236" s="150">
        <f t="shared" si="175"/>
        <v>0</v>
      </c>
    </row>
    <row r="237" spans="1:11" hidden="1">
      <c r="A237" s="81" t="s">
        <v>18</v>
      </c>
      <c r="B237" s="27"/>
      <c r="C237" s="108" t="s">
        <v>448</v>
      </c>
      <c r="D237" s="168"/>
      <c r="E237" s="168"/>
      <c r="F237" s="168"/>
      <c r="G237" s="150">
        <v>0</v>
      </c>
      <c r="H237" s="150">
        <v>0</v>
      </c>
      <c r="I237" s="150">
        <f t="shared" si="173"/>
        <v>0</v>
      </c>
      <c r="J237" s="150">
        <f t="shared" si="174"/>
        <v>0</v>
      </c>
      <c r="K237" s="150">
        <f t="shared" si="175"/>
        <v>0</v>
      </c>
    </row>
    <row r="238" spans="1:11" hidden="1">
      <c r="A238" s="81"/>
      <c r="B238" s="27"/>
      <c r="C238" s="108"/>
      <c r="D238" s="168"/>
      <c r="E238" s="168"/>
      <c r="F238" s="168"/>
      <c r="G238" s="150"/>
      <c r="H238" s="150"/>
      <c r="I238" s="150">
        <f t="shared" si="173"/>
        <v>0</v>
      </c>
      <c r="J238" s="150">
        <f t="shared" si="174"/>
        <v>0</v>
      </c>
      <c r="K238" s="150">
        <f t="shared" si="175"/>
        <v>0</v>
      </c>
    </row>
    <row r="239" spans="1:11">
      <c r="A239" s="81"/>
      <c r="B239" s="27"/>
      <c r="C239" s="108"/>
      <c r="D239" s="168"/>
      <c r="E239" s="168"/>
      <c r="F239" s="168"/>
      <c r="G239" s="150"/>
      <c r="H239" s="150"/>
      <c r="I239" s="150"/>
      <c r="J239" s="150"/>
      <c r="K239" s="150"/>
    </row>
    <row r="240" spans="1:11" s="55" customFormat="1" ht="30" customHeight="1">
      <c r="A240" s="68" t="s">
        <v>466</v>
      </c>
      <c r="B240" s="54"/>
      <c r="C240" s="109" t="s">
        <v>457</v>
      </c>
      <c r="D240" s="171">
        <f>D241+D251+D255</f>
        <v>1073820.02</v>
      </c>
      <c r="E240" s="171">
        <f>E241+E251+E255</f>
        <v>1073820.02</v>
      </c>
      <c r="F240" s="171">
        <f>F241+F251+F255</f>
        <v>691717.33</v>
      </c>
      <c r="G240" s="152">
        <f>G241+G251+G255</f>
        <v>0</v>
      </c>
      <c r="H240" s="152">
        <f>H241+H251+H255</f>
        <v>0</v>
      </c>
      <c r="I240" s="152">
        <f t="shared" si="173"/>
        <v>691717.33</v>
      </c>
      <c r="J240" s="152">
        <f t="shared" si="174"/>
        <v>382102.69000000006</v>
      </c>
      <c r="K240" s="152">
        <f t="shared" si="175"/>
        <v>382102.69000000006</v>
      </c>
    </row>
    <row r="241" spans="1:11" s="55" customFormat="1" ht="25.5">
      <c r="A241" s="81" t="s">
        <v>137</v>
      </c>
      <c r="B241" s="54"/>
      <c r="C241" s="108" t="s">
        <v>456</v>
      </c>
      <c r="D241" s="171">
        <f>D242+D247+D250</f>
        <v>925837</v>
      </c>
      <c r="E241" s="171">
        <f t="shared" ref="E241:H241" si="189">E242+E247+E250</f>
        <v>925837</v>
      </c>
      <c r="F241" s="171">
        <f t="shared" si="189"/>
        <v>631112.23</v>
      </c>
      <c r="G241" s="152">
        <f t="shared" si="189"/>
        <v>0</v>
      </c>
      <c r="H241" s="152">
        <f t="shared" si="189"/>
        <v>0</v>
      </c>
      <c r="I241" s="152">
        <f t="shared" si="173"/>
        <v>631112.23</v>
      </c>
      <c r="J241" s="152">
        <f t="shared" si="174"/>
        <v>294724.77</v>
      </c>
      <c r="K241" s="152">
        <f t="shared" si="175"/>
        <v>294724.77</v>
      </c>
    </row>
    <row r="242" spans="1:11">
      <c r="A242" s="62" t="s">
        <v>414</v>
      </c>
      <c r="B242" s="27"/>
      <c r="C242" s="108" t="s">
        <v>449</v>
      </c>
      <c r="D242" s="168">
        <v>683581</v>
      </c>
      <c r="E242" s="168">
        <f t="shared" ref="E242:E246" si="190">D242</f>
        <v>683581</v>
      </c>
      <c r="F242" s="168">
        <v>475745.28000000003</v>
      </c>
      <c r="G242" s="150">
        <v>0</v>
      </c>
      <c r="H242" s="150">
        <v>0</v>
      </c>
      <c r="I242" s="150">
        <f t="shared" si="173"/>
        <v>475745.28000000003</v>
      </c>
      <c r="J242" s="150">
        <f t="shared" si="174"/>
        <v>207835.71999999997</v>
      </c>
      <c r="K242" s="150">
        <f t="shared" si="175"/>
        <v>207835.71999999997</v>
      </c>
    </row>
    <row r="243" spans="1:11" ht="38.25">
      <c r="A243" s="62" t="s">
        <v>22</v>
      </c>
      <c r="B243" s="27"/>
      <c r="C243" s="108" t="s">
        <v>450</v>
      </c>
      <c r="D243" s="168">
        <f>25000-6327.98-9288.02</f>
        <v>9384</v>
      </c>
      <c r="E243" s="168">
        <f t="shared" si="190"/>
        <v>9384</v>
      </c>
      <c r="F243" s="168">
        <v>9384</v>
      </c>
      <c r="G243" s="150">
        <v>0</v>
      </c>
      <c r="H243" s="150">
        <v>0</v>
      </c>
      <c r="I243" s="150">
        <f t="shared" si="173"/>
        <v>9384</v>
      </c>
      <c r="J243" s="150">
        <f t="shared" si="174"/>
        <v>0</v>
      </c>
      <c r="K243" s="150">
        <f t="shared" si="175"/>
        <v>0</v>
      </c>
    </row>
    <row r="244" spans="1:11" ht="38.25">
      <c r="A244" s="62" t="s">
        <v>23</v>
      </c>
      <c r="B244" s="27"/>
      <c r="C244" s="108" t="s">
        <v>451</v>
      </c>
      <c r="D244" s="168">
        <f>18000-10500</f>
        <v>7500</v>
      </c>
      <c r="E244" s="168">
        <f t="shared" si="190"/>
        <v>7500</v>
      </c>
      <c r="F244" s="168">
        <v>0</v>
      </c>
      <c r="G244" s="150">
        <v>0</v>
      </c>
      <c r="H244" s="150">
        <v>0</v>
      </c>
      <c r="I244" s="150">
        <f t="shared" si="173"/>
        <v>0</v>
      </c>
      <c r="J244" s="150">
        <f t="shared" si="174"/>
        <v>7500</v>
      </c>
      <c r="K244" s="150">
        <f t="shared" si="175"/>
        <v>7500</v>
      </c>
    </row>
    <row r="245" spans="1:11">
      <c r="A245" s="62" t="s">
        <v>13</v>
      </c>
      <c r="B245" s="27"/>
      <c r="C245" s="108" t="s">
        <v>464</v>
      </c>
      <c r="D245" s="168">
        <v>11581</v>
      </c>
      <c r="E245" s="168">
        <f t="shared" si="190"/>
        <v>11581</v>
      </c>
      <c r="F245" s="168">
        <v>0</v>
      </c>
      <c r="G245" s="150">
        <v>0</v>
      </c>
      <c r="H245" s="150">
        <v>0</v>
      </c>
      <c r="I245" s="150">
        <f t="shared" si="173"/>
        <v>0</v>
      </c>
      <c r="J245" s="150">
        <f t="shared" si="174"/>
        <v>11581</v>
      </c>
      <c r="K245" s="150">
        <f t="shared" si="175"/>
        <v>11581</v>
      </c>
    </row>
    <row r="246" spans="1:11">
      <c r="A246" s="62" t="s">
        <v>16</v>
      </c>
      <c r="B246" s="27"/>
      <c r="C246" s="108" t="s">
        <v>459</v>
      </c>
      <c r="D246" s="168">
        <f>13200-5850</f>
        <v>7350</v>
      </c>
      <c r="E246" s="168">
        <f t="shared" si="190"/>
        <v>7350</v>
      </c>
      <c r="F246" s="168">
        <v>0</v>
      </c>
      <c r="G246" s="150">
        <v>0</v>
      </c>
      <c r="H246" s="150">
        <v>0</v>
      </c>
      <c r="I246" s="150">
        <f t="shared" si="173"/>
        <v>0</v>
      </c>
      <c r="J246" s="150">
        <f t="shared" si="174"/>
        <v>7350</v>
      </c>
      <c r="K246" s="150">
        <f t="shared" si="175"/>
        <v>7350</v>
      </c>
    </row>
    <row r="247" spans="1:11" s="66" customFormat="1" ht="17.25">
      <c r="A247" s="67" t="s">
        <v>139</v>
      </c>
      <c r="B247" s="65"/>
      <c r="C247" s="110"/>
      <c r="D247" s="170">
        <f>SUM(D243:D246)</f>
        <v>35815</v>
      </c>
      <c r="E247" s="170">
        <f t="shared" ref="E247" si="191">SUM(E243:E246)</f>
        <v>35815</v>
      </c>
      <c r="F247" s="170">
        <f t="shared" ref="F247" si="192">SUM(F243:F246)</f>
        <v>9384</v>
      </c>
      <c r="G247" s="151">
        <f t="shared" ref="G247" si="193">SUM(G243:G246)</f>
        <v>0</v>
      </c>
      <c r="H247" s="151">
        <f t="shared" ref="H247" si="194">SUM(H243:H246)</f>
        <v>0</v>
      </c>
      <c r="I247" s="152">
        <f t="shared" si="173"/>
        <v>9384</v>
      </c>
      <c r="J247" s="152">
        <f t="shared" si="174"/>
        <v>26431</v>
      </c>
      <c r="K247" s="152">
        <f t="shared" si="175"/>
        <v>26431</v>
      </c>
    </row>
    <row r="248" spans="1:11" ht="25.5">
      <c r="A248" s="69" t="s">
        <v>97</v>
      </c>
      <c r="B248" s="27"/>
      <c r="C248" s="108" t="s">
        <v>460</v>
      </c>
      <c r="D248" s="168">
        <v>150387</v>
      </c>
      <c r="E248" s="168">
        <f t="shared" ref="E248:E249" si="195">D248</f>
        <v>150387</v>
      </c>
      <c r="F248" s="168">
        <v>106345.2</v>
      </c>
      <c r="G248" s="150">
        <v>0</v>
      </c>
      <c r="H248" s="150">
        <v>0</v>
      </c>
      <c r="I248" s="150">
        <f t="shared" si="173"/>
        <v>106345.2</v>
      </c>
      <c r="J248" s="150">
        <f t="shared" si="174"/>
        <v>44041.8</v>
      </c>
      <c r="K248" s="150">
        <f t="shared" si="175"/>
        <v>44041.8</v>
      </c>
    </row>
    <row r="249" spans="1:11">
      <c r="A249" s="69" t="s">
        <v>98</v>
      </c>
      <c r="B249" s="27"/>
      <c r="C249" s="108" t="s">
        <v>461</v>
      </c>
      <c r="D249" s="168">
        <v>56054</v>
      </c>
      <c r="E249" s="168">
        <f t="shared" si="195"/>
        <v>56054</v>
      </c>
      <c r="F249" s="168">
        <v>39637.75</v>
      </c>
      <c r="G249" s="150">
        <v>0</v>
      </c>
      <c r="H249" s="150">
        <v>0</v>
      </c>
      <c r="I249" s="150">
        <f t="shared" si="173"/>
        <v>39637.75</v>
      </c>
      <c r="J249" s="150">
        <f t="shared" si="174"/>
        <v>16416.25</v>
      </c>
      <c r="K249" s="150">
        <f t="shared" si="175"/>
        <v>16416.25</v>
      </c>
    </row>
    <row r="250" spans="1:11" s="66" customFormat="1" ht="17.25">
      <c r="A250" s="81" t="s">
        <v>138</v>
      </c>
      <c r="B250" s="65"/>
      <c r="C250" s="110"/>
      <c r="D250" s="170">
        <f t="shared" ref="D250" si="196">SUM(D248:D249)</f>
        <v>206441</v>
      </c>
      <c r="E250" s="170">
        <f>SUM(E248:E249)</f>
        <v>206441</v>
      </c>
      <c r="F250" s="170">
        <f t="shared" ref="F250" si="197">SUM(F248:F249)</f>
        <v>145982.95000000001</v>
      </c>
      <c r="G250" s="151">
        <f t="shared" ref="G250:H250" si="198">SUM(G248:G249)</f>
        <v>0</v>
      </c>
      <c r="H250" s="151">
        <f t="shared" si="198"/>
        <v>0</v>
      </c>
      <c r="I250" s="152">
        <f t="shared" si="173"/>
        <v>145982.95000000001</v>
      </c>
      <c r="J250" s="152">
        <f t="shared" si="174"/>
        <v>60458.049999999988</v>
      </c>
      <c r="K250" s="152">
        <f t="shared" si="175"/>
        <v>60458.049999999988</v>
      </c>
    </row>
    <row r="251" spans="1:11" s="66" customFormat="1" ht="17.25">
      <c r="A251" s="68" t="s">
        <v>131</v>
      </c>
      <c r="B251" s="65"/>
      <c r="C251" s="110"/>
      <c r="D251" s="170">
        <f>D252+D253+D254</f>
        <v>121181.02</v>
      </c>
      <c r="E251" s="170">
        <f>E252+E253+E254</f>
        <v>121181.02</v>
      </c>
      <c r="F251" s="170">
        <f t="shared" ref="F251:H251" si="199">F252+F253+F254</f>
        <v>51412.1</v>
      </c>
      <c r="G251" s="151">
        <f t="shared" si="199"/>
        <v>0</v>
      </c>
      <c r="H251" s="151">
        <f t="shared" si="199"/>
        <v>0</v>
      </c>
      <c r="I251" s="152">
        <f t="shared" si="173"/>
        <v>51412.1</v>
      </c>
      <c r="J251" s="152">
        <f t="shared" si="174"/>
        <v>69768.920000000013</v>
      </c>
      <c r="K251" s="152">
        <f t="shared" si="175"/>
        <v>69768.920000000013</v>
      </c>
    </row>
    <row r="252" spans="1:11">
      <c r="A252" s="62" t="s">
        <v>12</v>
      </c>
      <c r="B252" s="27"/>
      <c r="C252" s="108" t="s">
        <v>452</v>
      </c>
      <c r="D252" s="168">
        <v>11097</v>
      </c>
      <c r="E252" s="168">
        <f t="shared" ref="E252:E255" si="200">D252</f>
        <v>11097</v>
      </c>
      <c r="F252" s="168">
        <v>5361.1</v>
      </c>
      <c r="G252" s="150">
        <v>0</v>
      </c>
      <c r="H252" s="150">
        <v>0</v>
      </c>
      <c r="I252" s="150">
        <f t="shared" si="173"/>
        <v>5361.1</v>
      </c>
      <c r="J252" s="150">
        <f t="shared" si="174"/>
        <v>5735.9</v>
      </c>
      <c r="K252" s="150">
        <f t="shared" si="175"/>
        <v>5735.9</v>
      </c>
    </row>
    <row r="253" spans="1:11">
      <c r="A253" s="62" t="s">
        <v>15</v>
      </c>
      <c r="B253" s="27"/>
      <c r="C253" s="108" t="s">
        <v>453</v>
      </c>
      <c r="D253" s="168">
        <v>6252</v>
      </c>
      <c r="E253" s="168">
        <f t="shared" si="200"/>
        <v>6252</v>
      </c>
      <c r="F253" s="168">
        <v>5600</v>
      </c>
      <c r="G253" s="150">
        <v>0</v>
      </c>
      <c r="H253" s="150">
        <v>0</v>
      </c>
      <c r="I253" s="150">
        <f t="shared" si="173"/>
        <v>5600</v>
      </c>
      <c r="J253" s="150">
        <f t="shared" si="174"/>
        <v>652</v>
      </c>
      <c r="K253" s="150">
        <f t="shared" si="175"/>
        <v>652</v>
      </c>
    </row>
    <row r="254" spans="1:11">
      <c r="A254" s="62" t="s">
        <v>16</v>
      </c>
      <c r="B254" s="27"/>
      <c r="C254" s="108" t="s">
        <v>454</v>
      </c>
      <c r="D254" s="168">
        <f>78194+25638.02</f>
        <v>103832.02</v>
      </c>
      <c r="E254" s="168">
        <f t="shared" si="200"/>
        <v>103832.02</v>
      </c>
      <c r="F254" s="168">
        <v>40451</v>
      </c>
      <c r="G254" s="150">
        <v>0</v>
      </c>
      <c r="H254" s="150">
        <v>0</v>
      </c>
      <c r="I254" s="150">
        <f t="shared" si="173"/>
        <v>40451</v>
      </c>
      <c r="J254" s="150">
        <f t="shared" si="174"/>
        <v>63381.020000000004</v>
      </c>
      <c r="K254" s="150">
        <f t="shared" si="175"/>
        <v>63381.020000000004</v>
      </c>
    </row>
    <row r="255" spans="1:11" ht="25.5">
      <c r="A255" s="64" t="s">
        <v>504</v>
      </c>
      <c r="B255" s="27"/>
      <c r="C255" s="108" t="s">
        <v>455</v>
      </c>
      <c r="D255" s="168">
        <f>9193+17609</f>
        <v>26802</v>
      </c>
      <c r="E255" s="168">
        <f t="shared" si="200"/>
        <v>26802</v>
      </c>
      <c r="F255" s="168">
        <v>9193</v>
      </c>
      <c r="G255" s="150">
        <v>0</v>
      </c>
      <c r="H255" s="150">
        <v>0</v>
      </c>
      <c r="I255" s="150">
        <f t="shared" si="173"/>
        <v>9193</v>
      </c>
      <c r="J255" s="150">
        <f t="shared" si="174"/>
        <v>17609</v>
      </c>
      <c r="K255" s="150">
        <f t="shared" si="175"/>
        <v>17609</v>
      </c>
    </row>
    <row r="256" spans="1:11" s="26" customFormat="1" ht="17.25">
      <c r="A256" s="48"/>
      <c r="B256" s="65"/>
      <c r="C256" s="110"/>
      <c r="D256" s="170"/>
      <c r="E256" s="170"/>
      <c r="F256" s="170"/>
      <c r="G256" s="151"/>
      <c r="H256" s="151"/>
      <c r="I256" s="150"/>
      <c r="J256" s="150"/>
      <c r="K256" s="150"/>
    </row>
    <row r="257" spans="1:11">
      <c r="A257" s="28" t="s">
        <v>151</v>
      </c>
      <c r="B257" s="27"/>
      <c r="C257" s="133" t="s">
        <v>154</v>
      </c>
      <c r="D257" s="171">
        <f t="shared" ref="D257:H257" si="201">D258</f>
        <v>264075</v>
      </c>
      <c r="E257" s="171">
        <f t="shared" si="201"/>
        <v>264075</v>
      </c>
      <c r="F257" s="171">
        <f t="shared" si="201"/>
        <v>193270.79</v>
      </c>
      <c r="G257" s="152">
        <f t="shared" si="201"/>
        <v>0</v>
      </c>
      <c r="H257" s="152">
        <f t="shared" si="201"/>
        <v>0</v>
      </c>
      <c r="I257" s="152">
        <f t="shared" si="173"/>
        <v>193270.79</v>
      </c>
      <c r="J257" s="152">
        <f t="shared" si="174"/>
        <v>70804.209999999992</v>
      </c>
      <c r="K257" s="152">
        <f t="shared" si="175"/>
        <v>70804.209999999992</v>
      </c>
    </row>
    <row r="258" spans="1:11" s="55" customFormat="1" ht="18.75" customHeight="1">
      <c r="A258" s="28" t="s">
        <v>152</v>
      </c>
      <c r="B258" s="54"/>
      <c r="C258" s="133" t="s">
        <v>153</v>
      </c>
      <c r="D258" s="171">
        <f>D259+D264+D265+D266+D267+D268</f>
        <v>264075</v>
      </c>
      <c r="E258" s="171">
        <f t="shared" ref="E258:H258" si="202">E259+E264+E265+E266+E267+E268</f>
        <v>264075</v>
      </c>
      <c r="F258" s="171">
        <f t="shared" si="202"/>
        <v>193270.79</v>
      </c>
      <c r="G258" s="152">
        <f t="shared" si="202"/>
        <v>0</v>
      </c>
      <c r="H258" s="152">
        <f t="shared" si="202"/>
        <v>0</v>
      </c>
      <c r="I258" s="152">
        <f t="shared" si="173"/>
        <v>193270.79</v>
      </c>
      <c r="J258" s="152">
        <f t="shared" si="174"/>
        <v>70804.209999999992</v>
      </c>
      <c r="K258" s="152">
        <f t="shared" si="175"/>
        <v>70804.209999999992</v>
      </c>
    </row>
    <row r="259" spans="1:11" s="26" customFormat="1" ht="30" customHeight="1">
      <c r="A259" s="48" t="s">
        <v>137</v>
      </c>
      <c r="B259" s="27"/>
      <c r="C259" s="108" t="s">
        <v>413</v>
      </c>
      <c r="D259" s="168">
        <f>D260+D263</f>
        <v>236235</v>
      </c>
      <c r="E259" s="168">
        <f t="shared" ref="E259:E262" si="203">D259</f>
        <v>236235</v>
      </c>
      <c r="F259" s="168">
        <f t="shared" ref="F259:H259" si="204">F260+F263</f>
        <v>193270.79</v>
      </c>
      <c r="G259" s="150">
        <f t="shared" si="204"/>
        <v>0</v>
      </c>
      <c r="H259" s="150">
        <f t="shared" si="204"/>
        <v>0</v>
      </c>
      <c r="I259" s="150">
        <f t="shared" si="173"/>
        <v>193270.79</v>
      </c>
      <c r="J259" s="150">
        <f t="shared" si="174"/>
        <v>42964.209999999992</v>
      </c>
      <c r="K259" s="150">
        <f t="shared" si="175"/>
        <v>42964.209999999992</v>
      </c>
    </row>
    <row r="260" spans="1:11" s="26" customFormat="1" ht="26.25" customHeight="1">
      <c r="A260" s="48" t="s">
        <v>412</v>
      </c>
      <c r="B260" s="27"/>
      <c r="C260" s="108" t="s">
        <v>404</v>
      </c>
      <c r="D260" s="168">
        <v>181440</v>
      </c>
      <c r="E260" s="168">
        <f t="shared" si="203"/>
        <v>181440</v>
      </c>
      <c r="F260" s="168">
        <v>148178.54</v>
      </c>
      <c r="G260" s="150">
        <v>0</v>
      </c>
      <c r="H260" s="150">
        <v>0</v>
      </c>
      <c r="I260" s="150">
        <f t="shared" si="173"/>
        <v>148178.54</v>
      </c>
      <c r="J260" s="150">
        <f t="shared" si="174"/>
        <v>33261.459999999992</v>
      </c>
      <c r="K260" s="150">
        <f t="shared" si="175"/>
        <v>33261.459999999992</v>
      </c>
    </row>
    <row r="261" spans="1:11" s="26" customFormat="1" ht="18.75" customHeight="1">
      <c r="A261" s="71" t="s">
        <v>97</v>
      </c>
      <c r="B261" s="27"/>
      <c r="C261" s="108" t="s">
        <v>405</v>
      </c>
      <c r="D261" s="168">
        <v>39917</v>
      </c>
      <c r="E261" s="168">
        <f t="shared" si="203"/>
        <v>39917</v>
      </c>
      <c r="F261" s="168">
        <v>32858.269999999997</v>
      </c>
      <c r="G261" s="150">
        <v>0</v>
      </c>
      <c r="H261" s="150">
        <v>0</v>
      </c>
      <c r="I261" s="150">
        <f t="shared" si="173"/>
        <v>32858.269999999997</v>
      </c>
      <c r="J261" s="150">
        <f t="shared" si="174"/>
        <v>7058.7300000000032</v>
      </c>
      <c r="K261" s="150">
        <f t="shared" si="175"/>
        <v>7058.7300000000032</v>
      </c>
    </row>
    <row r="262" spans="1:11" s="26" customFormat="1" ht="18.75" customHeight="1">
      <c r="A262" s="71" t="s">
        <v>98</v>
      </c>
      <c r="B262" s="27"/>
      <c r="C262" s="108" t="s">
        <v>406</v>
      </c>
      <c r="D262" s="168">
        <v>14878</v>
      </c>
      <c r="E262" s="168">
        <f t="shared" si="203"/>
        <v>14878</v>
      </c>
      <c r="F262" s="168">
        <v>12233.98</v>
      </c>
      <c r="G262" s="150">
        <v>0</v>
      </c>
      <c r="H262" s="150">
        <v>0</v>
      </c>
      <c r="I262" s="150">
        <f t="shared" si="173"/>
        <v>12233.98</v>
      </c>
      <c r="J262" s="150">
        <f t="shared" si="174"/>
        <v>2644.0200000000004</v>
      </c>
      <c r="K262" s="150">
        <f t="shared" si="175"/>
        <v>2644.0200000000004</v>
      </c>
    </row>
    <row r="263" spans="1:11" s="26" customFormat="1" ht="27.75" customHeight="1">
      <c r="A263" s="78" t="s">
        <v>467</v>
      </c>
      <c r="B263" s="25"/>
      <c r="C263" s="110"/>
      <c r="D263" s="170">
        <f>SUM(D261:D262)</f>
        <v>54795</v>
      </c>
      <c r="E263" s="170">
        <f>SUM(E261:E262)</f>
        <v>54795</v>
      </c>
      <c r="F263" s="170">
        <f t="shared" ref="F263" si="205">SUM(F261:F262)</f>
        <v>45092.25</v>
      </c>
      <c r="G263" s="151">
        <f t="shared" ref="G263:H263" si="206">SUM(G261:G262)</f>
        <v>0</v>
      </c>
      <c r="H263" s="151">
        <f t="shared" si="206"/>
        <v>0</v>
      </c>
      <c r="I263" s="152">
        <f t="shared" si="173"/>
        <v>45092.25</v>
      </c>
      <c r="J263" s="152">
        <f t="shared" si="174"/>
        <v>9702.75</v>
      </c>
      <c r="K263" s="152">
        <f t="shared" si="175"/>
        <v>9702.75</v>
      </c>
    </row>
    <row r="264" spans="1:11" s="26" customFormat="1" ht="21.75" customHeight="1">
      <c r="A264" s="62" t="s">
        <v>12</v>
      </c>
      <c r="B264" s="25"/>
      <c r="C264" s="108" t="s">
        <v>407</v>
      </c>
      <c r="D264" s="168">
        <v>350</v>
      </c>
      <c r="E264" s="168">
        <f t="shared" ref="E264:E268" si="207">D264</f>
        <v>350</v>
      </c>
      <c r="F264" s="168">
        <v>0</v>
      </c>
      <c r="G264" s="150">
        <v>0</v>
      </c>
      <c r="H264" s="150">
        <v>0</v>
      </c>
      <c r="I264" s="150">
        <f t="shared" si="173"/>
        <v>0</v>
      </c>
      <c r="J264" s="150">
        <f t="shared" si="174"/>
        <v>350</v>
      </c>
      <c r="K264" s="150">
        <f t="shared" si="175"/>
        <v>350</v>
      </c>
    </row>
    <row r="265" spans="1:11" s="26" customFormat="1" ht="18.75" customHeight="1">
      <c r="A265" s="62" t="s">
        <v>16</v>
      </c>
      <c r="B265" s="25"/>
      <c r="C265" s="108" t="s">
        <v>408</v>
      </c>
      <c r="D265" s="168">
        <v>9835</v>
      </c>
      <c r="E265" s="168">
        <f t="shared" si="207"/>
        <v>9835</v>
      </c>
      <c r="F265" s="168">
        <v>0</v>
      </c>
      <c r="G265" s="150">
        <v>0</v>
      </c>
      <c r="H265" s="150">
        <v>0</v>
      </c>
      <c r="I265" s="150">
        <f t="shared" si="173"/>
        <v>0</v>
      </c>
      <c r="J265" s="150">
        <f t="shared" si="174"/>
        <v>9835</v>
      </c>
      <c r="K265" s="150">
        <f t="shared" si="175"/>
        <v>9835</v>
      </c>
    </row>
    <row r="266" spans="1:11" ht="15.75" customHeight="1">
      <c r="A266" s="62" t="s">
        <v>17</v>
      </c>
      <c r="B266" s="27"/>
      <c r="C266" s="108" t="s">
        <v>409</v>
      </c>
      <c r="D266" s="168">
        <v>12500</v>
      </c>
      <c r="E266" s="168">
        <f t="shared" si="207"/>
        <v>12500</v>
      </c>
      <c r="F266" s="168">
        <v>0</v>
      </c>
      <c r="G266" s="150">
        <v>0</v>
      </c>
      <c r="H266" s="150">
        <v>0</v>
      </c>
      <c r="I266" s="150">
        <f t="shared" si="173"/>
        <v>0</v>
      </c>
      <c r="J266" s="150">
        <f t="shared" si="174"/>
        <v>12500</v>
      </c>
      <c r="K266" s="150">
        <f t="shared" si="175"/>
        <v>12500</v>
      </c>
    </row>
    <row r="267" spans="1:11" s="26" customFormat="1" ht="18.75" customHeight="1">
      <c r="A267" s="81" t="s">
        <v>18</v>
      </c>
      <c r="B267" s="25"/>
      <c r="C267" s="108" t="s">
        <v>410</v>
      </c>
      <c r="D267" s="168">
        <v>300</v>
      </c>
      <c r="E267" s="168">
        <f t="shared" si="207"/>
        <v>300</v>
      </c>
      <c r="F267" s="168">
        <v>0</v>
      </c>
      <c r="G267" s="150">
        <v>0</v>
      </c>
      <c r="H267" s="150">
        <v>0</v>
      </c>
      <c r="I267" s="150">
        <f t="shared" si="173"/>
        <v>0</v>
      </c>
      <c r="J267" s="150">
        <f t="shared" si="174"/>
        <v>300</v>
      </c>
      <c r="K267" s="150">
        <f t="shared" si="175"/>
        <v>300</v>
      </c>
    </row>
    <row r="268" spans="1:11" s="26" customFormat="1" ht="27.75" customHeight="1">
      <c r="A268" s="64" t="s">
        <v>504</v>
      </c>
      <c r="B268" s="25"/>
      <c r="C268" s="108" t="s">
        <v>411</v>
      </c>
      <c r="D268" s="168">
        <v>4855</v>
      </c>
      <c r="E268" s="168">
        <f t="shared" si="207"/>
        <v>4855</v>
      </c>
      <c r="F268" s="168">
        <v>0</v>
      </c>
      <c r="G268" s="150">
        <v>0</v>
      </c>
      <c r="H268" s="150">
        <v>0</v>
      </c>
      <c r="I268" s="150">
        <f t="shared" si="173"/>
        <v>0</v>
      </c>
      <c r="J268" s="150">
        <f t="shared" si="174"/>
        <v>4855</v>
      </c>
      <c r="K268" s="150">
        <f t="shared" si="175"/>
        <v>4855</v>
      </c>
    </row>
    <row r="269" spans="1:11" s="89" customFormat="1" ht="18.75" customHeight="1">
      <c r="A269" s="87" t="s">
        <v>60</v>
      </c>
      <c r="B269" s="88"/>
      <c r="C269" s="109"/>
      <c r="D269" s="176"/>
      <c r="E269" s="176"/>
      <c r="F269" s="176"/>
      <c r="G269" s="157"/>
      <c r="H269" s="157"/>
      <c r="I269" s="150"/>
      <c r="J269" s="150"/>
      <c r="K269" s="150"/>
    </row>
    <row r="270" spans="1:11">
      <c r="A270" s="79" t="s">
        <v>480</v>
      </c>
      <c r="B270" s="27"/>
      <c r="C270" s="108" t="s">
        <v>61</v>
      </c>
      <c r="D270" s="168">
        <f>D17+D45+D110</f>
        <v>1344943</v>
      </c>
      <c r="E270" s="168">
        <f>E17+E45+E110</f>
        <v>1344943</v>
      </c>
      <c r="F270" s="168">
        <f>F17+F45+F110</f>
        <v>940259.85000000009</v>
      </c>
      <c r="G270" s="150">
        <f>G17+G45+G110</f>
        <v>0</v>
      </c>
      <c r="H270" s="150">
        <f>H17+H45+H110</f>
        <v>0</v>
      </c>
      <c r="I270" s="150">
        <f t="shared" si="173"/>
        <v>940259.85000000009</v>
      </c>
      <c r="J270" s="150">
        <f t="shared" si="174"/>
        <v>404683.14999999991</v>
      </c>
      <c r="K270" s="150">
        <f t="shared" si="175"/>
        <v>404683.14999999991</v>
      </c>
    </row>
    <row r="271" spans="1:11">
      <c r="A271" s="79" t="s">
        <v>481</v>
      </c>
      <c r="B271" s="27"/>
      <c r="C271" s="108" t="s">
        <v>62</v>
      </c>
      <c r="D271" s="168">
        <f>D242+D77+D46</f>
        <v>1631077</v>
      </c>
      <c r="E271" s="168">
        <f>E242+E77+E46</f>
        <v>1631077</v>
      </c>
      <c r="F271" s="168">
        <f>F242+F77+F46</f>
        <v>1157958.1600000001</v>
      </c>
      <c r="G271" s="150">
        <f>G242+G77+G46</f>
        <v>0</v>
      </c>
      <c r="H271" s="150">
        <f>H242+H77+H46</f>
        <v>0</v>
      </c>
      <c r="I271" s="150">
        <f t="shared" si="173"/>
        <v>1157958.1600000001</v>
      </c>
      <c r="J271" s="150">
        <f t="shared" si="174"/>
        <v>473118.83999999985</v>
      </c>
      <c r="K271" s="150">
        <f t="shared" si="175"/>
        <v>473118.83999999985</v>
      </c>
    </row>
    <row r="272" spans="1:11" s="66" customFormat="1" ht="17.25">
      <c r="A272" s="90" t="s">
        <v>78</v>
      </c>
      <c r="B272" s="65"/>
      <c r="C272" s="110"/>
      <c r="D272" s="170">
        <f>SUM(D270:D271)</f>
        <v>2976020</v>
      </c>
      <c r="E272" s="170">
        <f>SUM(E270:E271)</f>
        <v>2976020</v>
      </c>
      <c r="F272" s="170">
        <f t="shared" ref="F272" si="208">SUM(F270:F271)</f>
        <v>2098218.0100000002</v>
      </c>
      <c r="G272" s="151">
        <f t="shared" ref="G272:H272" si="209">SUM(G270:G271)</f>
        <v>0</v>
      </c>
      <c r="H272" s="151">
        <f t="shared" si="209"/>
        <v>0</v>
      </c>
      <c r="I272" s="150">
        <f t="shared" si="173"/>
        <v>2098218.0100000002</v>
      </c>
      <c r="J272" s="152">
        <f t="shared" si="174"/>
        <v>877801.98999999976</v>
      </c>
      <c r="K272" s="152">
        <f t="shared" si="175"/>
        <v>877801.98999999976</v>
      </c>
    </row>
    <row r="273" spans="1:11" ht="38.25">
      <c r="A273" s="79" t="s">
        <v>22</v>
      </c>
      <c r="B273" s="27"/>
      <c r="C273" s="108" t="s">
        <v>63</v>
      </c>
      <c r="D273" s="168">
        <f t="shared" ref="D273:I273" si="210">D243+D48</f>
        <v>56980</v>
      </c>
      <c r="E273" s="168">
        <f t="shared" si="210"/>
        <v>56980</v>
      </c>
      <c r="F273" s="168">
        <f t="shared" si="210"/>
        <v>9384</v>
      </c>
      <c r="G273" s="150">
        <f t="shared" si="210"/>
        <v>0</v>
      </c>
      <c r="H273" s="150">
        <f t="shared" si="210"/>
        <v>0</v>
      </c>
      <c r="I273" s="150">
        <f t="shared" si="210"/>
        <v>9384</v>
      </c>
      <c r="J273" s="150">
        <f t="shared" ref="J273" si="211">D273-I273</f>
        <v>47596</v>
      </c>
      <c r="K273" s="150">
        <f t="shared" ref="K273" si="212">E273-I273</f>
        <v>47596</v>
      </c>
    </row>
    <row r="274" spans="1:11" ht="39" customHeight="1">
      <c r="A274" s="79" t="s">
        <v>23</v>
      </c>
      <c r="B274" s="27"/>
      <c r="C274" s="108" t="s">
        <v>64</v>
      </c>
      <c r="D274" s="168">
        <f>D244+D111+D49</f>
        <v>28500</v>
      </c>
      <c r="E274" s="168">
        <f>E244+E111+E49</f>
        <v>28500</v>
      </c>
      <c r="F274" s="168">
        <f>F244+F111+F49</f>
        <v>4500</v>
      </c>
      <c r="G274" s="150">
        <f>G244+G111+G49</f>
        <v>0</v>
      </c>
      <c r="H274" s="150">
        <f>H244+H111+H49</f>
        <v>0</v>
      </c>
      <c r="I274" s="150">
        <f t="shared" si="173"/>
        <v>4500</v>
      </c>
      <c r="J274" s="150">
        <f t="shared" si="174"/>
        <v>24000</v>
      </c>
      <c r="K274" s="150">
        <f t="shared" si="175"/>
        <v>24000</v>
      </c>
    </row>
    <row r="275" spans="1:11" ht="26.25" customHeight="1">
      <c r="A275" s="62" t="s">
        <v>16</v>
      </c>
      <c r="B275" s="27"/>
      <c r="C275" s="108" t="s">
        <v>526</v>
      </c>
      <c r="D275" s="168">
        <f>D50</f>
        <v>3274</v>
      </c>
      <c r="E275" s="168">
        <f t="shared" ref="E275:I275" si="213">E50</f>
        <v>3274</v>
      </c>
      <c r="F275" s="168">
        <f t="shared" si="213"/>
        <v>3274</v>
      </c>
      <c r="G275" s="168">
        <f t="shared" si="213"/>
        <v>0</v>
      </c>
      <c r="H275" s="168">
        <f t="shared" si="213"/>
        <v>0</v>
      </c>
      <c r="I275" s="168">
        <f t="shared" si="213"/>
        <v>3274</v>
      </c>
      <c r="J275" s="150">
        <f t="shared" si="174"/>
        <v>0</v>
      </c>
      <c r="K275" s="150">
        <f t="shared" si="175"/>
        <v>0</v>
      </c>
    </row>
    <row r="276" spans="1:11" ht="21.75" customHeight="1">
      <c r="A276" s="79" t="s">
        <v>13</v>
      </c>
      <c r="B276" s="27"/>
      <c r="C276" s="108" t="s">
        <v>468</v>
      </c>
      <c r="D276" s="168">
        <f t="shared" ref="D276:H277" si="214">D245+D112+D51</f>
        <v>31300</v>
      </c>
      <c r="E276" s="168">
        <f t="shared" si="214"/>
        <v>31300</v>
      </c>
      <c r="F276" s="168">
        <f t="shared" si="214"/>
        <v>9115.2000000000007</v>
      </c>
      <c r="G276" s="150">
        <f t="shared" si="214"/>
        <v>0</v>
      </c>
      <c r="H276" s="150">
        <f t="shared" si="214"/>
        <v>0</v>
      </c>
      <c r="I276" s="150">
        <f t="shared" si="173"/>
        <v>9115.2000000000007</v>
      </c>
      <c r="J276" s="150">
        <f t="shared" si="174"/>
        <v>22184.799999999999</v>
      </c>
      <c r="K276" s="150">
        <f t="shared" si="175"/>
        <v>22184.799999999999</v>
      </c>
    </row>
    <row r="277" spans="1:11" ht="20.25" customHeight="1">
      <c r="A277" s="79" t="s">
        <v>16</v>
      </c>
      <c r="B277" s="27"/>
      <c r="C277" s="108" t="s">
        <v>469</v>
      </c>
      <c r="D277" s="168">
        <f t="shared" si="214"/>
        <v>22750</v>
      </c>
      <c r="E277" s="168">
        <f t="shared" si="214"/>
        <v>22750</v>
      </c>
      <c r="F277" s="168">
        <f t="shared" si="214"/>
        <v>1875</v>
      </c>
      <c r="G277" s="150">
        <f t="shared" si="214"/>
        <v>0</v>
      </c>
      <c r="H277" s="150">
        <f t="shared" si="214"/>
        <v>0</v>
      </c>
      <c r="I277" s="150">
        <f t="shared" si="173"/>
        <v>1875</v>
      </c>
      <c r="J277" s="150">
        <f t="shared" si="174"/>
        <v>20875</v>
      </c>
      <c r="K277" s="150">
        <f t="shared" si="175"/>
        <v>20875</v>
      </c>
    </row>
    <row r="278" spans="1:11" s="66" customFormat="1" ht="17.25">
      <c r="A278" s="90" t="s">
        <v>79</v>
      </c>
      <c r="B278" s="65"/>
      <c r="C278" s="110"/>
      <c r="D278" s="170">
        <f>SUM(D273:D277)</f>
        <v>142804</v>
      </c>
      <c r="E278" s="170">
        <f>SUM(E273:E277)</f>
        <v>142804</v>
      </c>
      <c r="F278" s="170">
        <f t="shared" ref="F278" si="215">SUM(F273:F277)</f>
        <v>28148.2</v>
      </c>
      <c r="G278" s="151">
        <f t="shared" ref="G278:H278" si="216">SUM(G273:G277)</f>
        <v>0</v>
      </c>
      <c r="H278" s="151">
        <f t="shared" si="216"/>
        <v>0</v>
      </c>
      <c r="I278" s="152">
        <f t="shared" si="173"/>
        <v>28148.2</v>
      </c>
      <c r="J278" s="152">
        <f t="shared" si="174"/>
        <v>114655.8</v>
      </c>
      <c r="K278" s="152">
        <f t="shared" si="175"/>
        <v>114655.8</v>
      </c>
    </row>
    <row r="279" spans="1:11" ht="25.5">
      <c r="A279" s="71" t="s">
        <v>97</v>
      </c>
      <c r="B279" s="27"/>
      <c r="C279" s="108" t="s">
        <v>65</v>
      </c>
      <c r="D279" s="168">
        <f t="shared" ref="D279:H280" si="217">D248+D115+D78+D54+D18</f>
        <v>654722</v>
      </c>
      <c r="E279" s="168">
        <f t="shared" si="217"/>
        <v>654722</v>
      </c>
      <c r="F279" s="168">
        <f t="shared" si="217"/>
        <v>477638.48000000004</v>
      </c>
      <c r="G279" s="150">
        <f t="shared" si="217"/>
        <v>0</v>
      </c>
      <c r="H279" s="150">
        <f t="shared" si="217"/>
        <v>0</v>
      </c>
      <c r="I279" s="150">
        <f t="shared" si="173"/>
        <v>477638.48000000004</v>
      </c>
      <c r="J279" s="150">
        <f t="shared" si="174"/>
        <v>177083.51999999996</v>
      </c>
      <c r="K279" s="150">
        <f t="shared" si="175"/>
        <v>177083.51999999996</v>
      </c>
    </row>
    <row r="280" spans="1:11">
      <c r="A280" s="71" t="s">
        <v>98</v>
      </c>
      <c r="B280" s="27"/>
      <c r="C280" s="108" t="s">
        <v>66</v>
      </c>
      <c r="D280" s="168">
        <f t="shared" si="217"/>
        <v>244036</v>
      </c>
      <c r="E280" s="168">
        <f t="shared" si="217"/>
        <v>244036</v>
      </c>
      <c r="F280" s="168">
        <f t="shared" si="217"/>
        <v>179029.6</v>
      </c>
      <c r="G280" s="150">
        <f t="shared" si="217"/>
        <v>0</v>
      </c>
      <c r="H280" s="150">
        <f t="shared" si="217"/>
        <v>0</v>
      </c>
      <c r="I280" s="150">
        <f t="shared" si="173"/>
        <v>179029.6</v>
      </c>
      <c r="J280" s="150">
        <f t="shared" si="174"/>
        <v>65006.399999999994</v>
      </c>
      <c r="K280" s="150">
        <f t="shared" si="175"/>
        <v>65006.399999999994</v>
      </c>
    </row>
    <row r="281" spans="1:11" s="66" customFormat="1" ht="17.25">
      <c r="A281" s="90" t="s">
        <v>82</v>
      </c>
      <c r="B281" s="65"/>
      <c r="C281" s="110"/>
      <c r="D281" s="170">
        <f t="shared" ref="D281:H281" si="218">SUM(D279:D280)</f>
        <v>898758</v>
      </c>
      <c r="E281" s="170">
        <f>SUM(E279:E280)</f>
        <v>898758</v>
      </c>
      <c r="F281" s="170">
        <f t="shared" ref="F281" si="219">SUM(F279:F280)</f>
        <v>656668.08000000007</v>
      </c>
      <c r="G281" s="151">
        <f t="shared" si="218"/>
        <v>0</v>
      </c>
      <c r="H281" s="151">
        <f t="shared" si="218"/>
        <v>0</v>
      </c>
      <c r="I281" s="150">
        <f t="shared" si="173"/>
        <v>656668.08000000007</v>
      </c>
      <c r="J281" s="152">
        <f t="shared" si="174"/>
        <v>242089.91999999993</v>
      </c>
      <c r="K281" s="152">
        <f t="shared" si="175"/>
        <v>242089.91999999993</v>
      </c>
    </row>
    <row r="282" spans="1:11" s="66" customFormat="1" ht="17.25">
      <c r="A282" s="90"/>
      <c r="B282" s="65"/>
      <c r="C282" s="110"/>
      <c r="D282" s="170">
        <f>D283+D284+D288+D290+D291</f>
        <v>3216777.46</v>
      </c>
      <c r="E282" s="170">
        <f>E283+E284+E288+E290+E291</f>
        <v>3216777.46</v>
      </c>
      <c r="F282" s="170">
        <f t="shared" ref="F282" si="220">F283+F284+F288+F290+F291</f>
        <v>1283204.1000000001</v>
      </c>
      <c r="G282" s="151">
        <f t="shared" ref="G282:H282" si="221">G283+G284+G288+G290+G291</f>
        <v>0</v>
      </c>
      <c r="H282" s="151">
        <f t="shared" si="221"/>
        <v>0</v>
      </c>
      <c r="I282" s="150">
        <f t="shared" si="173"/>
        <v>1283204.1000000001</v>
      </c>
      <c r="J282" s="152">
        <f t="shared" si="174"/>
        <v>1933573.3599999999</v>
      </c>
      <c r="K282" s="152">
        <f t="shared" si="175"/>
        <v>1933573.3599999999</v>
      </c>
    </row>
    <row r="283" spans="1:11">
      <c r="A283" s="79" t="s">
        <v>12</v>
      </c>
      <c r="B283" s="27"/>
      <c r="C283" s="108" t="s">
        <v>159</v>
      </c>
      <c r="D283" s="168">
        <f>D252+D59</f>
        <v>49094.26</v>
      </c>
      <c r="E283" s="168">
        <f>E252+E59</f>
        <v>49094.26</v>
      </c>
      <c r="F283" s="168">
        <f>F252+F59</f>
        <v>26403.9</v>
      </c>
      <c r="G283" s="150">
        <f>G252+G59</f>
        <v>0</v>
      </c>
      <c r="H283" s="150">
        <f>H252+H59</f>
        <v>0</v>
      </c>
      <c r="I283" s="150">
        <f t="shared" si="173"/>
        <v>26403.9</v>
      </c>
      <c r="J283" s="150">
        <f t="shared" si="174"/>
        <v>22690.36</v>
      </c>
      <c r="K283" s="150">
        <f t="shared" si="175"/>
        <v>22690.36</v>
      </c>
    </row>
    <row r="284" spans="1:11" hidden="1">
      <c r="A284" s="79" t="s">
        <v>13</v>
      </c>
      <c r="B284" s="27"/>
      <c r="C284" s="108" t="s">
        <v>67</v>
      </c>
      <c r="D284" s="168"/>
      <c r="E284" s="168"/>
      <c r="F284" s="168"/>
      <c r="G284" s="150"/>
      <c r="H284" s="150"/>
      <c r="I284" s="150">
        <f t="shared" si="173"/>
        <v>0</v>
      </c>
      <c r="J284" s="150">
        <f t="shared" si="174"/>
        <v>0</v>
      </c>
      <c r="K284" s="150">
        <f t="shared" si="175"/>
        <v>0</v>
      </c>
    </row>
    <row r="285" spans="1:11" ht="25.5">
      <c r="A285" s="79" t="s">
        <v>27</v>
      </c>
      <c r="B285" s="27"/>
      <c r="C285" s="108" t="s">
        <v>68</v>
      </c>
      <c r="D285" s="168">
        <f>D61</f>
        <v>1317215</v>
      </c>
      <c r="E285" s="168">
        <f>E61</f>
        <v>1317215</v>
      </c>
      <c r="F285" s="168">
        <f t="shared" ref="F285" si="222">F61</f>
        <v>530657.6</v>
      </c>
      <c r="G285" s="150">
        <f>G61</f>
        <v>0</v>
      </c>
      <c r="H285" s="150">
        <f>H61</f>
        <v>0</v>
      </c>
      <c r="I285" s="150">
        <f t="shared" si="173"/>
        <v>530657.6</v>
      </c>
      <c r="J285" s="150">
        <f t="shared" si="174"/>
        <v>786557.4</v>
      </c>
      <c r="K285" s="150">
        <f t="shared" si="175"/>
        <v>786557.4</v>
      </c>
    </row>
    <row r="286" spans="1:11">
      <c r="A286" s="79" t="s">
        <v>24</v>
      </c>
      <c r="B286" s="27"/>
      <c r="C286" s="108" t="s">
        <v>69</v>
      </c>
      <c r="D286" s="168">
        <f>D62+D157</f>
        <v>516098.3</v>
      </c>
      <c r="E286" s="168">
        <f>E62+E157</f>
        <v>516098.3</v>
      </c>
      <c r="F286" s="168">
        <f>F62+F157</f>
        <v>317217.74</v>
      </c>
      <c r="G286" s="150">
        <f>G62+G157</f>
        <v>0</v>
      </c>
      <c r="H286" s="150">
        <f>H62+H157</f>
        <v>0</v>
      </c>
      <c r="I286" s="150">
        <f t="shared" si="173"/>
        <v>317217.74</v>
      </c>
      <c r="J286" s="150">
        <f t="shared" si="174"/>
        <v>198880.56</v>
      </c>
      <c r="K286" s="150">
        <f t="shared" si="175"/>
        <v>198880.56</v>
      </c>
    </row>
    <row r="287" spans="1:11">
      <c r="A287" s="79" t="s">
        <v>25</v>
      </c>
      <c r="B287" s="27"/>
      <c r="C287" s="108" t="s">
        <v>70</v>
      </c>
      <c r="D287" s="168">
        <f>D63</f>
        <v>17556.099999999999</v>
      </c>
      <c r="E287" s="168">
        <f>E63</f>
        <v>17556.099999999999</v>
      </c>
      <c r="F287" s="168">
        <f t="shared" ref="F287" si="223">F63</f>
        <v>8049.09</v>
      </c>
      <c r="G287" s="150">
        <f>G63</f>
        <v>0</v>
      </c>
      <c r="H287" s="150">
        <f>H63</f>
        <v>0</v>
      </c>
      <c r="I287" s="150">
        <f t="shared" si="173"/>
        <v>8049.09</v>
      </c>
      <c r="J287" s="150">
        <f t="shared" si="174"/>
        <v>9507.0099999999984</v>
      </c>
      <c r="K287" s="150">
        <f t="shared" si="175"/>
        <v>9507.0099999999984</v>
      </c>
    </row>
    <row r="288" spans="1:11" s="66" customFormat="1" ht="17.25">
      <c r="A288" s="90" t="s">
        <v>80</v>
      </c>
      <c r="B288" s="65"/>
      <c r="C288" s="110"/>
      <c r="D288" s="170">
        <f t="shared" ref="D288" si="224">SUM(D285:D287)</f>
        <v>1850869.4000000001</v>
      </c>
      <c r="E288" s="170">
        <f>SUM(E285:E287)</f>
        <v>1850869.4000000001</v>
      </c>
      <c r="F288" s="170">
        <f>SUM(F285:F287)</f>
        <v>855924.42999999993</v>
      </c>
      <c r="G288" s="151">
        <f>SUM(G285:G287)</f>
        <v>0</v>
      </c>
      <c r="H288" s="151">
        <f>SUM(H285:H287)</f>
        <v>0</v>
      </c>
      <c r="I288" s="152">
        <f t="shared" si="173"/>
        <v>855924.42999999993</v>
      </c>
      <c r="J288" s="152">
        <f t="shared" si="174"/>
        <v>994944.9700000002</v>
      </c>
      <c r="K288" s="152">
        <f t="shared" si="175"/>
        <v>994944.9700000002</v>
      </c>
    </row>
    <row r="289" spans="1:11" s="92" customFormat="1" ht="12.75" hidden="1" customHeight="1">
      <c r="A289" s="79" t="s">
        <v>16</v>
      </c>
      <c r="B289" s="91"/>
      <c r="C289" s="108" t="s">
        <v>100</v>
      </c>
      <c r="D289" s="168"/>
      <c r="E289" s="168"/>
      <c r="F289" s="168"/>
      <c r="G289" s="150"/>
      <c r="H289" s="150"/>
      <c r="I289" s="150">
        <f t="shared" si="173"/>
        <v>0</v>
      </c>
      <c r="J289" s="150">
        <f t="shared" si="174"/>
        <v>0</v>
      </c>
      <c r="K289" s="150">
        <f t="shared" si="175"/>
        <v>0</v>
      </c>
    </row>
    <row r="290" spans="1:11">
      <c r="A290" s="79" t="s">
        <v>15</v>
      </c>
      <c r="B290" s="27"/>
      <c r="C290" s="108" t="s">
        <v>71</v>
      </c>
      <c r="D290" s="168">
        <f t="shared" ref="D290:I290" si="225">D145+D119+D65+D253+D147+D142</f>
        <v>361959.61</v>
      </c>
      <c r="E290" s="168">
        <f t="shared" si="225"/>
        <v>361959.61</v>
      </c>
      <c r="F290" s="168">
        <f t="shared" si="225"/>
        <v>68240.679999999993</v>
      </c>
      <c r="G290" s="150">
        <f t="shared" si="225"/>
        <v>0</v>
      </c>
      <c r="H290" s="150">
        <f t="shared" si="225"/>
        <v>0</v>
      </c>
      <c r="I290" s="150">
        <f t="shared" si="225"/>
        <v>68240.679999999993</v>
      </c>
      <c r="J290" s="150">
        <f t="shared" si="174"/>
        <v>293718.93</v>
      </c>
      <c r="K290" s="150">
        <f t="shared" si="175"/>
        <v>293718.93</v>
      </c>
    </row>
    <row r="291" spans="1:11">
      <c r="A291" s="79" t="s">
        <v>16</v>
      </c>
      <c r="B291" s="27"/>
      <c r="C291" s="108" t="s">
        <v>158</v>
      </c>
      <c r="D291" s="168">
        <f t="shared" ref="D291:I291" si="226">D254+D159+D158+D121+D66+D130+D146+D148+D144+D161+D143+D163+D164</f>
        <v>954854.19</v>
      </c>
      <c r="E291" s="168">
        <f t="shared" si="226"/>
        <v>954854.19</v>
      </c>
      <c r="F291" s="168">
        <f t="shared" si="226"/>
        <v>332635.08999999997</v>
      </c>
      <c r="G291" s="150">
        <f t="shared" si="226"/>
        <v>0</v>
      </c>
      <c r="H291" s="150">
        <f t="shared" si="226"/>
        <v>0</v>
      </c>
      <c r="I291" s="150">
        <f t="shared" si="226"/>
        <v>332635.08999999997</v>
      </c>
      <c r="J291" s="150">
        <f t="shared" ref="J291" si="227">D291-I291</f>
        <v>622219.1</v>
      </c>
      <c r="K291" s="150">
        <f t="shared" ref="K291" si="228">E291-I291</f>
        <v>622219.1</v>
      </c>
    </row>
    <row r="292" spans="1:11" ht="25.5">
      <c r="A292" s="62" t="s">
        <v>19</v>
      </c>
      <c r="B292" s="27"/>
      <c r="C292" s="108" t="s">
        <v>76</v>
      </c>
      <c r="D292" s="168">
        <f t="shared" ref="D292:I292" si="229">D87+D167</f>
        <v>33337</v>
      </c>
      <c r="E292" s="168">
        <f t="shared" si="229"/>
        <v>33337</v>
      </c>
      <c r="F292" s="168">
        <f t="shared" si="229"/>
        <v>5402</v>
      </c>
      <c r="G292" s="150">
        <f t="shared" si="229"/>
        <v>0</v>
      </c>
      <c r="H292" s="150">
        <f t="shared" si="229"/>
        <v>0</v>
      </c>
      <c r="I292" s="150">
        <f t="shared" si="229"/>
        <v>5402</v>
      </c>
      <c r="J292" s="150">
        <f t="shared" ref="J292:J300" si="230">D292-I292</f>
        <v>27935</v>
      </c>
      <c r="K292" s="150">
        <f t="shared" ref="K292:K300" si="231">E292-I292</f>
        <v>27935</v>
      </c>
    </row>
    <row r="293" spans="1:11">
      <c r="A293" s="79" t="s">
        <v>17</v>
      </c>
      <c r="B293" s="27"/>
      <c r="C293" s="108" t="s">
        <v>72</v>
      </c>
      <c r="D293" s="168">
        <f>D101+D89+D74+D67+D73</f>
        <v>63149.63</v>
      </c>
      <c r="E293" s="168">
        <f t="shared" ref="E293" si="232">E101+E89+E74+E67+E73</f>
        <v>63149.63</v>
      </c>
      <c r="F293" s="168">
        <f>F101+F89+F74+F67+F73</f>
        <v>4017.9300000000003</v>
      </c>
      <c r="G293" s="150">
        <f>G101+G89+G74+G67</f>
        <v>0</v>
      </c>
      <c r="H293" s="150">
        <f>H101+H89+H74+H67</f>
        <v>0</v>
      </c>
      <c r="I293" s="150">
        <f t="shared" ref="I293:I300" si="233">F293+G293+H293</f>
        <v>4017.9300000000003</v>
      </c>
      <c r="J293" s="150">
        <f t="shared" si="230"/>
        <v>59131.7</v>
      </c>
      <c r="K293" s="150">
        <f t="shared" si="231"/>
        <v>59131.7</v>
      </c>
    </row>
    <row r="294" spans="1:11">
      <c r="A294" s="79" t="s">
        <v>18</v>
      </c>
      <c r="B294" s="27"/>
      <c r="C294" s="108" t="s">
        <v>73</v>
      </c>
      <c r="D294" s="168">
        <f>D123</f>
        <v>7241</v>
      </c>
      <c r="E294" s="168">
        <f t="shared" ref="E294:H294" si="234">E123</f>
        <v>7241</v>
      </c>
      <c r="F294" s="168">
        <f t="shared" si="234"/>
        <v>0</v>
      </c>
      <c r="G294" s="150">
        <f t="shared" si="234"/>
        <v>0</v>
      </c>
      <c r="H294" s="150">
        <f t="shared" si="234"/>
        <v>0</v>
      </c>
      <c r="I294" s="150">
        <f t="shared" si="233"/>
        <v>0</v>
      </c>
      <c r="J294" s="150">
        <f t="shared" si="230"/>
        <v>7241</v>
      </c>
      <c r="K294" s="150">
        <f t="shared" si="231"/>
        <v>7241</v>
      </c>
    </row>
    <row r="295" spans="1:11" ht="25.5">
      <c r="A295" s="79" t="s">
        <v>26</v>
      </c>
      <c r="B295" s="27"/>
      <c r="C295" s="108" t="s">
        <v>74</v>
      </c>
      <c r="D295" s="168">
        <f>D70</f>
        <v>160937</v>
      </c>
      <c r="E295" s="168">
        <f>E70</f>
        <v>160937</v>
      </c>
      <c r="F295" s="168">
        <f t="shared" ref="F295" si="235">F70</f>
        <v>88524.29</v>
      </c>
      <c r="G295" s="150">
        <f>G70</f>
        <v>0</v>
      </c>
      <c r="H295" s="150">
        <f>H70</f>
        <v>0</v>
      </c>
      <c r="I295" s="150">
        <f t="shared" si="233"/>
        <v>88524.29</v>
      </c>
      <c r="J295" s="150">
        <f t="shared" si="230"/>
        <v>72412.710000000006</v>
      </c>
      <c r="K295" s="150">
        <f t="shared" si="231"/>
        <v>72412.710000000006</v>
      </c>
    </row>
    <row r="296" spans="1:11" ht="25.5">
      <c r="A296" s="93" t="s">
        <v>504</v>
      </c>
      <c r="B296" s="27"/>
      <c r="C296" s="108" t="s">
        <v>75</v>
      </c>
      <c r="D296" s="168">
        <f t="shared" ref="D296:K296" si="236">D255+D124+D105+D71+D160+D131+D132</f>
        <v>173526.39</v>
      </c>
      <c r="E296" s="168">
        <f t="shared" si="236"/>
        <v>173526.39</v>
      </c>
      <c r="F296" s="168">
        <f t="shared" si="236"/>
        <v>83868.040000000008</v>
      </c>
      <c r="G296" s="150">
        <f t="shared" si="236"/>
        <v>0</v>
      </c>
      <c r="H296" s="150">
        <f t="shared" si="236"/>
        <v>0</v>
      </c>
      <c r="I296" s="150">
        <f t="shared" si="236"/>
        <v>83868.040000000008</v>
      </c>
      <c r="J296" s="150">
        <f t="shared" si="236"/>
        <v>89658.35</v>
      </c>
      <c r="K296" s="150">
        <f t="shared" si="236"/>
        <v>89658.35</v>
      </c>
    </row>
    <row r="297" spans="1:11" s="66" customFormat="1" ht="17.25">
      <c r="A297" s="90" t="s">
        <v>81</v>
      </c>
      <c r="B297" s="65"/>
      <c r="C297" s="110"/>
      <c r="D297" s="170">
        <f>SUM(D295:D296)</f>
        <v>334463.39</v>
      </c>
      <c r="E297" s="170">
        <f>SUM(E295:E296)</f>
        <v>334463.39</v>
      </c>
      <c r="F297" s="170">
        <f t="shared" ref="F297" si="237">SUM(F295:F296)</f>
        <v>172392.33000000002</v>
      </c>
      <c r="G297" s="151">
        <f t="shared" ref="G297:H297" si="238">SUM(G295:G296)</f>
        <v>0</v>
      </c>
      <c r="H297" s="151">
        <f t="shared" si="238"/>
        <v>0</v>
      </c>
      <c r="I297" s="152">
        <f t="shared" si="233"/>
        <v>172392.33000000002</v>
      </c>
      <c r="J297" s="152">
        <f t="shared" si="230"/>
        <v>162071.06</v>
      </c>
      <c r="K297" s="152">
        <f t="shared" si="231"/>
        <v>162071.06</v>
      </c>
    </row>
    <row r="298" spans="1:11" s="95" customFormat="1" ht="29.25" customHeight="1">
      <c r="A298" s="132" t="s">
        <v>475</v>
      </c>
      <c r="B298" s="77"/>
      <c r="C298" s="109" t="s">
        <v>99</v>
      </c>
      <c r="D298" s="171">
        <f>D257+D170</f>
        <v>3038877</v>
      </c>
      <c r="E298" s="171">
        <f>E257+E170</f>
        <v>3038877</v>
      </c>
      <c r="F298" s="171">
        <f>F257+F170</f>
        <v>1822245.69</v>
      </c>
      <c r="G298" s="152">
        <f>G257+G170</f>
        <v>0</v>
      </c>
      <c r="H298" s="152">
        <f>H257+H170</f>
        <v>0</v>
      </c>
      <c r="I298" s="152">
        <f t="shared" si="233"/>
        <v>1822245.69</v>
      </c>
      <c r="J298" s="152">
        <f t="shared" si="230"/>
        <v>1216631.31</v>
      </c>
      <c r="K298" s="152">
        <f t="shared" si="231"/>
        <v>1216631.31</v>
      </c>
    </row>
    <row r="299" spans="1:11" s="95" customFormat="1" ht="25.5">
      <c r="A299" s="132" t="s">
        <v>476</v>
      </c>
      <c r="B299" s="77"/>
      <c r="C299" s="109" t="s">
        <v>324</v>
      </c>
      <c r="D299" s="171">
        <f>D153</f>
        <v>9000</v>
      </c>
      <c r="E299" s="171">
        <f t="shared" ref="E299:H299" si="239">E153</f>
        <v>9000</v>
      </c>
      <c r="F299" s="171">
        <f t="shared" ref="F299" si="240">F153</f>
        <v>0</v>
      </c>
      <c r="G299" s="152">
        <f t="shared" si="239"/>
        <v>0</v>
      </c>
      <c r="H299" s="152">
        <f t="shared" si="239"/>
        <v>0</v>
      </c>
      <c r="I299" s="152">
        <f t="shared" si="233"/>
        <v>0</v>
      </c>
      <c r="J299" s="152">
        <f t="shared" si="230"/>
        <v>9000</v>
      </c>
      <c r="K299" s="152">
        <f t="shared" si="231"/>
        <v>9000</v>
      </c>
    </row>
    <row r="300" spans="1:11" s="95" customFormat="1" ht="18.75" customHeight="1">
      <c r="A300" s="94" t="s">
        <v>20</v>
      </c>
      <c r="B300" s="77"/>
      <c r="C300" s="109"/>
      <c r="D300" s="171">
        <f>D272+D278+D281+D282+D292+D293+D294+D297+D298+D299</f>
        <v>10720427.48</v>
      </c>
      <c r="E300" s="171">
        <f>E272+E278+E281+E282+E292+E293+E294+E297+E298+E299</f>
        <v>10720427.48</v>
      </c>
      <c r="F300" s="171">
        <f>F272+F278+F281+F282+F292+F293+F294+F297+F298+F299</f>
        <v>6070296.3399999999</v>
      </c>
      <c r="G300" s="152">
        <f t="shared" ref="G300:H300" si="241">G272+G278+G281+G282+G292+G293+G294+G297+G298+G299</f>
        <v>0</v>
      </c>
      <c r="H300" s="152">
        <f t="shared" si="241"/>
        <v>0</v>
      </c>
      <c r="I300" s="152">
        <f t="shared" si="233"/>
        <v>6070296.3399999999</v>
      </c>
      <c r="J300" s="152">
        <f t="shared" si="230"/>
        <v>4650131.1400000006</v>
      </c>
      <c r="K300" s="152">
        <f t="shared" si="231"/>
        <v>4650131.1400000006</v>
      </c>
    </row>
    <row r="301" spans="1:11" ht="25.5">
      <c r="A301" s="62" t="s">
        <v>344</v>
      </c>
      <c r="B301" s="27">
        <v>450</v>
      </c>
      <c r="C301" s="108" t="s">
        <v>41</v>
      </c>
      <c r="D301" s="168" t="s">
        <v>41</v>
      </c>
      <c r="E301" s="168" t="s">
        <v>41</v>
      </c>
      <c r="F301" s="168">
        <f>доходы!E16-'Расходы бюджета'!F300</f>
        <v>-30709.199999999255</v>
      </c>
      <c r="G301" s="150">
        <v>0</v>
      </c>
      <c r="H301" s="150">
        <v>0</v>
      </c>
      <c r="I301" s="150">
        <f>доходы!H16-'Расходы бюджета'!I300</f>
        <v>-30709.199999999255</v>
      </c>
      <c r="J301" s="150" t="s">
        <v>41</v>
      </c>
      <c r="K301" s="150" t="s">
        <v>41</v>
      </c>
    </row>
  </sheetData>
  <mergeCells count="7">
    <mergeCell ref="E9:E10"/>
    <mergeCell ref="J9:K9"/>
    <mergeCell ref="A9:A10"/>
    <mergeCell ref="B9:B10"/>
    <mergeCell ref="C9:C10"/>
    <mergeCell ref="D9:D10"/>
    <mergeCell ref="F9:I9"/>
  </mergeCells>
  <phoneticPr fontId="0" type="noConversion"/>
  <pageMargins left="0.78740157480314965" right="0" top="0.39370078740157483" bottom="0.39370078740157483" header="0.19685039370078741" footer="0"/>
  <pageSetup paperSize="9" scale="47" fitToHeight="0" orientation="portrait" r:id="rId1"/>
  <headerFooter alignWithMargins="0">
    <oddFooter>&amp;RСтраница &amp;P из &amp;N</oddFooter>
  </headerFooter>
  <rowBreaks count="2" manualBreakCount="2">
    <brk id="117" max="10" man="1"/>
    <brk id="20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view="pageBreakPreview" topLeftCell="A8" zoomScaleSheetLayoutView="100" workbookViewId="0">
      <selection activeCell="C25" sqref="C25"/>
    </sheetView>
  </sheetViews>
  <sheetFormatPr defaultRowHeight="12.75"/>
  <cols>
    <col min="1" max="1" width="32.85546875" style="2" customWidth="1"/>
    <col min="2" max="2" width="6.5703125" style="3" customWidth="1"/>
    <col min="3" max="3" width="25.7109375" style="1" customWidth="1"/>
    <col min="4" max="4" width="15" style="4" customWidth="1"/>
    <col min="5" max="5" width="14.28515625" style="4" customWidth="1"/>
    <col min="6" max="6" width="11" style="4" customWidth="1"/>
    <col min="7" max="7" width="9.140625" style="4"/>
    <col min="8" max="8" width="13" style="4" customWidth="1"/>
    <col min="9" max="9" width="16" style="4" customWidth="1"/>
    <col min="10" max="10" width="11.28515625" bestFit="1" customWidth="1"/>
  </cols>
  <sheetData>
    <row r="1" spans="1:11" s="6" customFormat="1" ht="30" hidden="1" customHeight="1">
      <c r="C1" s="6" t="s">
        <v>0</v>
      </c>
    </row>
    <row r="2" spans="1:11" s="6" customFormat="1" hidden="1">
      <c r="A2" s="7"/>
      <c r="B2" s="7"/>
      <c r="C2" s="7"/>
      <c r="D2" s="7"/>
      <c r="E2" s="7"/>
      <c r="F2" s="7"/>
      <c r="G2" s="7"/>
      <c r="H2" s="7"/>
      <c r="I2" s="7"/>
    </row>
    <row r="3" spans="1:11" s="6" customFormat="1" hidden="1">
      <c r="A3" s="7"/>
      <c r="B3" s="7"/>
      <c r="C3" s="7" t="s">
        <v>1</v>
      </c>
      <c r="D3" s="7"/>
      <c r="E3" s="7"/>
      <c r="F3" s="7"/>
      <c r="G3" s="7"/>
      <c r="H3" s="7"/>
      <c r="I3" s="7"/>
    </row>
    <row r="4" spans="1:11" s="6" customFormat="1" hidden="1">
      <c r="A4" s="7"/>
      <c r="B4" s="7"/>
      <c r="C4" s="7"/>
      <c r="D4" s="7"/>
      <c r="E4" s="7"/>
      <c r="F4" s="7"/>
      <c r="G4" s="7"/>
      <c r="H4" s="7"/>
      <c r="I4" s="7"/>
    </row>
    <row r="5" spans="1:11" s="6" customFormat="1" hidden="1">
      <c r="A5" s="7"/>
      <c r="B5" s="7"/>
      <c r="C5" s="7"/>
      <c r="D5" s="7"/>
      <c r="E5" s="7"/>
      <c r="F5" s="7"/>
      <c r="G5" s="7"/>
      <c r="H5" s="7"/>
      <c r="I5" s="7"/>
    </row>
    <row r="6" spans="1:11" s="6" customFormat="1" hidden="1">
      <c r="A6" s="7" t="s">
        <v>2</v>
      </c>
      <c r="B6" s="7"/>
      <c r="C6" s="7"/>
      <c r="D6" s="7"/>
      <c r="E6" s="7"/>
      <c r="F6" s="7"/>
      <c r="G6" s="7"/>
      <c r="H6" s="7"/>
      <c r="I6" s="7"/>
    </row>
    <row r="7" spans="1:11" s="6" customFormat="1" hidden="1">
      <c r="A7" s="7" t="s">
        <v>3</v>
      </c>
      <c r="B7" s="7"/>
      <c r="C7" s="7"/>
      <c r="D7" s="7"/>
      <c r="E7" s="7"/>
      <c r="F7" s="7"/>
      <c r="G7" s="7"/>
      <c r="H7" s="7"/>
      <c r="I7" s="7"/>
    </row>
    <row r="8" spans="1:11" s="6" customFormat="1">
      <c r="A8" s="7"/>
      <c r="B8" s="7"/>
      <c r="C8" s="7"/>
      <c r="D8" s="7"/>
      <c r="E8" s="7"/>
      <c r="F8" s="7"/>
      <c r="G8" s="7"/>
      <c r="I8" s="9" t="s">
        <v>167</v>
      </c>
    </row>
    <row r="9" spans="1:11" s="6" customFormat="1">
      <c r="A9" s="207" t="s">
        <v>30</v>
      </c>
      <c r="B9" s="207"/>
      <c r="C9" s="207"/>
      <c r="D9" s="207"/>
      <c r="E9" s="207"/>
      <c r="F9" s="207"/>
      <c r="G9" s="208"/>
      <c r="H9" s="208"/>
      <c r="I9" s="20"/>
    </row>
    <row r="10" spans="1:11" s="5" customFormat="1">
      <c r="A10" s="209" t="s">
        <v>31</v>
      </c>
      <c r="B10" s="211" t="s">
        <v>32</v>
      </c>
      <c r="C10" s="209" t="s">
        <v>353</v>
      </c>
      <c r="D10" s="213" t="s">
        <v>33</v>
      </c>
      <c r="E10" s="206" t="s">
        <v>5</v>
      </c>
      <c r="F10" s="206"/>
      <c r="G10" s="206"/>
      <c r="H10" s="206"/>
      <c r="I10" s="206" t="s">
        <v>6</v>
      </c>
    </row>
    <row r="11" spans="1:11" s="8" customFormat="1" ht="46.5" customHeight="1">
      <c r="A11" s="210"/>
      <c r="B11" s="212"/>
      <c r="C11" s="210"/>
      <c r="D11" s="214"/>
      <c r="E11" s="104" t="s">
        <v>34</v>
      </c>
      <c r="F11" s="104" t="s">
        <v>35</v>
      </c>
      <c r="G11" s="104" t="s">
        <v>36</v>
      </c>
      <c r="H11" s="104" t="s">
        <v>37</v>
      </c>
      <c r="I11" s="206"/>
    </row>
    <row r="12" spans="1:11" s="8" customFormat="1" ht="11.25">
      <c r="A12" s="17" t="s">
        <v>38</v>
      </c>
      <c r="B12" s="18">
        <v>2</v>
      </c>
      <c r="C12" s="18" t="s">
        <v>39</v>
      </c>
      <c r="D12" s="18">
        <v>4</v>
      </c>
      <c r="E12" s="18">
        <v>5</v>
      </c>
      <c r="F12" s="18">
        <v>6</v>
      </c>
      <c r="G12" s="18">
        <v>7</v>
      </c>
      <c r="H12" s="18">
        <v>8</v>
      </c>
      <c r="I12" s="18">
        <v>9</v>
      </c>
    </row>
    <row r="13" spans="1:11" s="8" customFormat="1" ht="33.75" customHeight="1">
      <c r="A13" s="126" t="s">
        <v>40</v>
      </c>
      <c r="B13" s="125">
        <v>500</v>
      </c>
      <c r="C13" s="11"/>
      <c r="D13" s="127">
        <f>D23-D24</f>
        <v>-444264.48000000045</v>
      </c>
      <c r="E13" s="127">
        <f>(E23)+E24</f>
        <v>30709.199999999255</v>
      </c>
      <c r="F13" s="128">
        <v>0</v>
      </c>
      <c r="G13" s="128">
        <v>0</v>
      </c>
      <c r="H13" s="127">
        <f>E13</f>
        <v>30709.199999999255</v>
      </c>
      <c r="I13" s="128">
        <f>D13+E13</f>
        <v>-413555.28000000119</v>
      </c>
    </row>
    <row r="14" spans="1:11">
      <c r="A14" s="13" t="s">
        <v>43</v>
      </c>
      <c r="B14" s="10"/>
      <c r="C14" s="11"/>
      <c r="D14" s="19"/>
      <c r="E14" s="12"/>
      <c r="F14" s="12"/>
      <c r="G14" s="12"/>
      <c r="H14" s="12"/>
      <c r="I14" s="12"/>
      <c r="J14" s="21"/>
    </row>
    <row r="15" spans="1:11" ht="22.5">
      <c r="A15" s="13" t="s">
        <v>44</v>
      </c>
      <c r="B15" s="10">
        <v>520</v>
      </c>
      <c r="C15" s="11" t="s">
        <v>41</v>
      </c>
      <c r="D15" s="19" t="s">
        <v>42</v>
      </c>
      <c r="E15" s="12"/>
      <c r="F15" s="12">
        <v>0</v>
      </c>
      <c r="G15" s="12">
        <v>0</v>
      </c>
      <c r="H15" s="12"/>
      <c r="I15" s="12">
        <v>0</v>
      </c>
      <c r="J15" s="22"/>
      <c r="K15" s="23"/>
    </row>
    <row r="16" spans="1:11">
      <c r="A16" s="13" t="s">
        <v>45</v>
      </c>
      <c r="B16" s="10"/>
      <c r="C16" s="11"/>
      <c r="D16" s="19"/>
      <c r="E16" s="12"/>
      <c r="F16" s="12"/>
      <c r="G16" s="12"/>
      <c r="H16" s="12"/>
      <c r="I16" s="12"/>
      <c r="J16" s="21"/>
    </row>
    <row r="17" spans="1:10" ht="22.5">
      <c r="A17" s="13" t="s">
        <v>46</v>
      </c>
      <c r="B17" s="10">
        <v>620</v>
      </c>
      <c r="C17" s="11" t="s">
        <v>41</v>
      </c>
      <c r="D17" s="19" t="s">
        <v>42</v>
      </c>
      <c r="E17" s="12"/>
      <c r="F17" s="12">
        <v>0</v>
      </c>
      <c r="G17" s="12">
        <v>0</v>
      </c>
      <c r="H17" s="12"/>
      <c r="I17" s="12">
        <v>0</v>
      </c>
      <c r="J17" s="24"/>
    </row>
    <row r="18" spans="1:10">
      <c r="A18" s="13" t="s">
        <v>47</v>
      </c>
      <c r="B18" s="10"/>
      <c r="C18" s="11"/>
      <c r="D18" s="19"/>
      <c r="E18" s="12"/>
      <c r="F18" s="12"/>
      <c r="G18" s="12"/>
      <c r="H18" s="12"/>
      <c r="I18" s="12"/>
    </row>
    <row r="19" spans="1:10">
      <c r="A19" s="13" t="s">
        <v>48</v>
      </c>
      <c r="B19" s="10">
        <v>700</v>
      </c>
      <c r="C19" s="11"/>
      <c r="D19" s="19" t="s">
        <v>42</v>
      </c>
      <c r="E19" s="12"/>
      <c r="F19" s="12">
        <v>0</v>
      </c>
      <c r="G19" s="12">
        <v>0</v>
      </c>
      <c r="H19" s="12"/>
      <c r="I19" s="12" t="s">
        <v>41</v>
      </c>
    </row>
    <row r="20" spans="1:10" ht="22.5">
      <c r="A20" s="13" t="s">
        <v>49</v>
      </c>
      <c r="B20" s="10">
        <v>800</v>
      </c>
      <c r="C20" s="11" t="s">
        <v>41</v>
      </c>
      <c r="D20" s="19" t="s">
        <v>41</v>
      </c>
      <c r="E20" s="12"/>
      <c r="F20" s="12">
        <v>0</v>
      </c>
      <c r="G20" s="12">
        <v>0</v>
      </c>
      <c r="H20" s="12"/>
      <c r="I20" s="12" t="s">
        <v>41</v>
      </c>
    </row>
    <row r="21" spans="1:10" ht="45">
      <c r="A21" s="13" t="s">
        <v>50</v>
      </c>
      <c r="B21" s="10">
        <v>810</v>
      </c>
      <c r="C21" s="11" t="s">
        <v>41</v>
      </c>
      <c r="D21" s="19" t="s">
        <v>41</v>
      </c>
      <c r="E21" s="19">
        <f>E23+E24</f>
        <v>30709.199999999255</v>
      </c>
      <c r="F21" s="12">
        <v>0</v>
      </c>
      <c r="G21" s="12" t="s">
        <v>41</v>
      </c>
      <c r="H21" s="19"/>
      <c r="I21" s="12" t="s">
        <v>41</v>
      </c>
    </row>
    <row r="22" spans="1:10">
      <c r="A22" s="13" t="s">
        <v>45</v>
      </c>
      <c r="B22" s="10"/>
      <c r="C22" s="11"/>
      <c r="D22" s="19"/>
      <c r="E22" s="12"/>
      <c r="F22" s="12"/>
      <c r="G22" s="12"/>
      <c r="H22" s="12"/>
      <c r="I22" s="12"/>
    </row>
    <row r="23" spans="1:10" ht="29.25" customHeight="1">
      <c r="A23" s="13" t="s">
        <v>51</v>
      </c>
      <c r="B23" s="10">
        <v>811</v>
      </c>
      <c r="C23" s="11" t="s">
        <v>165</v>
      </c>
      <c r="D23" s="19">
        <f>доходы!D16</f>
        <v>10276163</v>
      </c>
      <c r="E23" s="19">
        <f>-доходы!E16</f>
        <v>-6039587.1400000006</v>
      </c>
      <c r="F23" s="12" t="s">
        <v>41</v>
      </c>
      <c r="G23" s="12" t="s">
        <v>41</v>
      </c>
      <c r="H23" s="19">
        <f>-доходы!H16</f>
        <v>-6039587.1400000006</v>
      </c>
      <c r="I23" s="12" t="s">
        <v>41</v>
      </c>
    </row>
    <row r="24" spans="1:10" ht="22.5">
      <c r="A24" s="13" t="s">
        <v>52</v>
      </c>
      <c r="B24" s="10">
        <v>812</v>
      </c>
      <c r="C24" s="11" t="s">
        <v>166</v>
      </c>
      <c r="D24" s="19">
        <f>'Расходы бюджета'!D300</f>
        <v>10720427.48</v>
      </c>
      <c r="E24" s="19">
        <f>'Расходы бюджета'!I300</f>
        <v>6070296.3399999999</v>
      </c>
      <c r="F24" s="12">
        <v>0</v>
      </c>
      <c r="G24" s="12" t="s">
        <v>41</v>
      </c>
      <c r="H24" s="19"/>
      <c r="I24" s="12" t="s">
        <v>41</v>
      </c>
    </row>
    <row r="25" spans="1:10" ht="22.5">
      <c r="A25" s="13" t="s">
        <v>53</v>
      </c>
      <c r="B25" s="10">
        <v>820</v>
      </c>
      <c r="C25" s="11" t="s">
        <v>41</v>
      </c>
      <c r="D25" s="12" t="s">
        <v>41</v>
      </c>
      <c r="E25" s="12"/>
      <c r="F25" s="12">
        <v>0</v>
      </c>
      <c r="G25" s="12">
        <v>0</v>
      </c>
      <c r="H25" s="12">
        <v>0</v>
      </c>
      <c r="I25" s="12" t="s">
        <v>41</v>
      </c>
    </row>
    <row r="26" spans="1:10">
      <c r="A26" s="13" t="s">
        <v>54</v>
      </c>
      <c r="B26" s="10"/>
      <c r="C26" s="11"/>
      <c r="D26" s="12"/>
      <c r="E26" s="12"/>
      <c r="F26" s="12"/>
      <c r="G26" s="12"/>
      <c r="H26" s="12"/>
      <c r="I26" s="12"/>
    </row>
    <row r="27" spans="1:10" ht="22.5">
      <c r="A27" s="13" t="s">
        <v>55</v>
      </c>
      <c r="B27" s="10">
        <v>821</v>
      </c>
      <c r="C27" s="11" t="s">
        <v>41</v>
      </c>
      <c r="D27" s="12" t="s">
        <v>41</v>
      </c>
      <c r="E27" s="12" t="s">
        <v>41</v>
      </c>
      <c r="F27" s="12">
        <v>0</v>
      </c>
      <c r="G27" s="12">
        <v>0</v>
      </c>
      <c r="H27" s="12">
        <v>0</v>
      </c>
      <c r="I27" s="12" t="s">
        <v>41</v>
      </c>
    </row>
    <row r="28" spans="1:10" ht="22.5">
      <c r="A28" s="13" t="s">
        <v>56</v>
      </c>
      <c r="B28" s="10">
        <v>822</v>
      </c>
      <c r="C28" s="11" t="s">
        <v>41</v>
      </c>
      <c r="D28" s="12" t="s">
        <v>41</v>
      </c>
      <c r="E28" s="12" t="s">
        <v>41</v>
      </c>
      <c r="F28" s="12">
        <v>0</v>
      </c>
      <c r="G28" s="12">
        <v>0</v>
      </c>
      <c r="H28" s="12">
        <v>0</v>
      </c>
      <c r="I28" s="12" t="s">
        <v>41</v>
      </c>
    </row>
    <row r="29" spans="1:10" ht="23.25" customHeight="1"/>
    <row r="30" spans="1:10" ht="15" customHeight="1">
      <c r="A30" s="14" t="s">
        <v>351</v>
      </c>
      <c r="B30" s="15"/>
      <c r="C30" s="123" t="s">
        <v>325</v>
      </c>
      <c r="E30" s="4" t="s">
        <v>345</v>
      </c>
      <c r="G30" s="4" t="s">
        <v>349</v>
      </c>
      <c r="I30" s="4" t="s">
        <v>350</v>
      </c>
    </row>
    <row r="31" spans="1:10" ht="24" customHeight="1">
      <c r="A31" s="124" t="s">
        <v>347</v>
      </c>
      <c r="C31" s="1" t="s">
        <v>348</v>
      </c>
      <c r="E31" s="4" t="s">
        <v>346</v>
      </c>
      <c r="G31" s="4" t="s">
        <v>347</v>
      </c>
      <c r="I31" s="4" t="s">
        <v>348</v>
      </c>
    </row>
    <row r="32" spans="1:10">
      <c r="A32" s="14" t="s">
        <v>352</v>
      </c>
      <c r="B32" s="15"/>
      <c r="C32" s="123" t="s">
        <v>57</v>
      </c>
    </row>
    <row r="33" spans="1:3">
      <c r="A33" s="124" t="s">
        <v>347</v>
      </c>
      <c r="C33" s="1" t="s">
        <v>348</v>
      </c>
    </row>
    <row r="34" spans="1:3">
      <c r="A34" s="14" t="s">
        <v>524</v>
      </c>
      <c r="B34" s="15"/>
      <c r="C34" s="16"/>
    </row>
  </sheetData>
  <mergeCells count="8">
    <mergeCell ref="I10:I11"/>
    <mergeCell ref="A9:F9"/>
    <mergeCell ref="G9:H9"/>
    <mergeCell ref="A10:A11"/>
    <mergeCell ref="B10:B11"/>
    <mergeCell ref="C10:C11"/>
    <mergeCell ref="D10:D11"/>
    <mergeCell ref="E10:H10"/>
  </mergeCells>
  <phoneticPr fontId="0" type="noConversion"/>
  <pageMargins left="0.78740157480314965" right="0" top="0.39370078740157483" bottom="0.39370078740157483" header="0" footer="0"/>
  <pageSetup paperSize="9" scale="66" fitToHeight="0" orientation="portrait" r:id="rId1"/>
  <headerFooter alignWithMargins="0">
    <oddFooter>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 бюджета</vt:lpstr>
      <vt:lpstr>ИФДБ</vt:lpstr>
      <vt:lpstr>доходы!FIO</vt:lpstr>
      <vt:lpstr>ИФДБ!Заголовки_для_печати</vt:lpstr>
      <vt:lpstr>'Расходы бюджета'!Заголовки_для_печати</vt:lpstr>
      <vt:lpstr>'Расходы бюджета'!Область_печати</vt:lpstr>
    </vt:vector>
  </TitlesOfParts>
  <Company>CC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Yu. Pronina</dc:creator>
  <cp:lastModifiedBy>Бухгалтерия</cp:lastModifiedBy>
  <cp:lastPrinted>2016-09-03T09:21:41Z</cp:lastPrinted>
  <dcterms:created xsi:type="dcterms:W3CDTF">2005-06-23T13:40:44Z</dcterms:created>
  <dcterms:modified xsi:type="dcterms:W3CDTF">2016-10-12T02:49:52Z</dcterms:modified>
</cp:coreProperties>
</file>